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XPS\Mis documentos\archivero\Area de Trabajo\CURSOS\Facultad\Estudios Financieros\analisis financiero\"/>
    </mc:Choice>
  </mc:AlternateContent>
  <bookViews>
    <workbookView xWindow="0" yWindow="83" windowWidth="2168" windowHeight="5580" xr2:uid="{00000000-000D-0000-FFFF-FFFF00000000}"/>
  </bookViews>
  <sheets>
    <sheet name="BG" sheetId="1" r:id="rId1"/>
    <sheet name="ER" sheetId="2" r:id="rId2"/>
    <sheet name="FF" sheetId="3" r:id="rId3"/>
    <sheet name="razones NIF" sheetId="4" r:id="rId4"/>
    <sheet name="DUPONT" sheetId="6" r:id="rId5"/>
    <sheet name="ALTMAN" sheetId="7" r:id="rId6"/>
  </sheets>
  <definedNames>
    <definedName name="_xlnm.Print_Area" localSheetId="0">BG!$A$2:$N$23</definedName>
  </definedNames>
  <calcPr calcId="171027"/>
</workbook>
</file>

<file path=xl/calcChain.xml><?xml version="1.0" encoding="utf-8"?>
<calcChain xmlns="http://schemas.openxmlformats.org/spreadsheetml/2006/main">
  <c r="I20" i="4" l="1"/>
  <c r="E20" i="4"/>
  <c r="E30" i="3"/>
  <c r="E26" i="3"/>
  <c r="E24" i="3"/>
  <c r="E18" i="3"/>
  <c r="E20" i="3" s="1"/>
  <c r="E12" i="3"/>
  <c r="E7" i="3"/>
  <c r="E5" i="3"/>
  <c r="E8" i="3" s="1"/>
  <c r="E14" i="3" s="1"/>
  <c r="E3" i="3"/>
  <c r="N16" i="1"/>
  <c r="N14" i="1"/>
  <c r="N8" i="1"/>
  <c r="N4" i="1"/>
  <c r="G14" i="1"/>
  <c r="G10" i="1"/>
  <c r="G7" i="1"/>
  <c r="G5" i="1"/>
  <c r="G4" i="1" s="1"/>
  <c r="N3" i="1"/>
  <c r="D3" i="3"/>
  <c r="D30" i="3"/>
  <c r="D24" i="3"/>
  <c r="D26" i="3" s="1"/>
  <c r="D18" i="3"/>
  <c r="D20" i="3" s="1"/>
  <c r="D12" i="3"/>
  <c r="D7" i="3"/>
  <c r="D5" i="3"/>
  <c r="D3" i="2"/>
  <c r="C3" i="2"/>
  <c r="M3" i="1"/>
  <c r="L3" i="1"/>
  <c r="I1" i="4"/>
  <c r="E1" i="4"/>
  <c r="G3" i="4"/>
  <c r="I3" i="4" s="1"/>
  <c r="G4" i="4"/>
  <c r="G7" i="4"/>
  <c r="I7" i="4" s="1"/>
  <c r="G8" i="4"/>
  <c r="G11" i="4"/>
  <c r="I11" i="4"/>
  <c r="G12" i="4"/>
  <c r="G15" i="4"/>
  <c r="G16" i="4"/>
  <c r="I15" i="4" s="1"/>
  <c r="G19" i="4"/>
  <c r="G24" i="4"/>
  <c r="G31" i="4"/>
  <c r="I31" i="4" s="1"/>
  <c r="G32" i="4"/>
  <c r="G36" i="4" s="1"/>
  <c r="G35" i="4"/>
  <c r="G39" i="4"/>
  <c r="G43" i="4"/>
  <c r="G47" i="4"/>
  <c r="I47" i="4" s="1"/>
  <c r="G48" i="4"/>
  <c r="G51" i="4"/>
  <c r="G67" i="4" s="1"/>
  <c r="G52" i="4"/>
  <c r="I51" i="4" s="1"/>
  <c r="G56" i="4" s="1"/>
  <c r="I55" i="4" s="1"/>
  <c r="G59" i="4"/>
  <c r="I59" i="4" s="1"/>
  <c r="G64" i="4" s="1"/>
  <c r="I63" i="4" s="1"/>
  <c r="G60" i="4"/>
  <c r="G68" i="4"/>
  <c r="G76" i="4"/>
  <c r="G80" i="4"/>
  <c r="G84" i="4"/>
  <c r="G87" i="4"/>
  <c r="G91" i="4"/>
  <c r="G95" i="4"/>
  <c r="G99" i="4"/>
  <c r="G103" i="4"/>
  <c r="G107" i="4" s="1"/>
  <c r="I107" i="4" s="1"/>
  <c r="G115" i="4"/>
  <c r="G123" i="4"/>
  <c r="G124" i="4"/>
  <c r="I123" i="4" s="1"/>
  <c r="G127" i="4"/>
  <c r="I127" i="4" s="1"/>
  <c r="G128" i="4"/>
  <c r="G132" i="4"/>
  <c r="L18" i="1"/>
  <c r="E16" i="1"/>
  <c r="G23" i="4" l="1"/>
  <c r="G27" i="4"/>
  <c r="E28" i="3"/>
  <c r="E31" i="3" s="1"/>
  <c r="N11" i="1"/>
  <c r="N19" i="1"/>
  <c r="G21" i="1"/>
  <c r="I67" i="4"/>
  <c r="G72" i="4" s="1"/>
  <c r="I71" i="4" s="1"/>
  <c r="I23" i="4"/>
  <c r="I35" i="4"/>
  <c r="G40" i="4"/>
  <c r="G28" i="4"/>
  <c r="I27" i="4" s="1"/>
  <c r="G131" i="4"/>
  <c r="I131" i="4" s="1"/>
  <c r="G75" i="4"/>
  <c r="C16" i="4"/>
  <c r="N21" i="1" l="1"/>
  <c r="G79" i="4"/>
  <c r="I75" i="4"/>
  <c r="I39" i="4"/>
  <c r="G44" i="4"/>
  <c r="I43" i="4" s="1"/>
  <c r="G83" i="4" l="1"/>
  <c r="I79" i="4"/>
  <c r="C21" i="7"/>
  <c r="C11" i="7"/>
  <c r="M30" i="6"/>
  <c r="M27" i="6"/>
  <c r="M24" i="6"/>
  <c r="M21" i="6"/>
  <c r="D27" i="6"/>
  <c r="D24" i="6"/>
  <c r="D21" i="6"/>
  <c r="D18" i="6"/>
  <c r="C14" i="6" s="1"/>
  <c r="A18" i="6"/>
  <c r="F14" i="6" s="1"/>
  <c r="G14" i="6"/>
  <c r="J14" i="6"/>
  <c r="L18" i="6"/>
  <c r="N14" i="6" s="1"/>
  <c r="Z10" i="6" s="1"/>
  <c r="AF10" i="6" s="1"/>
  <c r="AA6" i="6" s="1"/>
  <c r="P26" i="1"/>
  <c r="Q18" i="1"/>
  <c r="Q17" i="1"/>
  <c r="Q15" i="1"/>
  <c r="Q9" i="1"/>
  <c r="P33" i="1" s="1"/>
  <c r="Q7" i="1"/>
  <c r="Q6" i="1"/>
  <c r="P32" i="1" s="1"/>
  <c r="Q5" i="1"/>
  <c r="P31" i="1" s="1"/>
  <c r="P18" i="1"/>
  <c r="P17" i="1"/>
  <c r="P15" i="1"/>
  <c r="P11" i="1"/>
  <c r="P30" i="1" s="1"/>
  <c r="P6" i="1"/>
  <c r="P9" i="1"/>
  <c r="P29" i="1" s="1"/>
  <c r="P8" i="1"/>
  <c r="P28" i="1" s="1"/>
  <c r="C115" i="4"/>
  <c r="C112" i="4"/>
  <c r="C111" i="4"/>
  <c r="E111" i="4" s="1"/>
  <c r="C80" i="4"/>
  <c r="C68" i="4"/>
  <c r="C60" i="4"/>
  <c r="C59" i="4"/>
  <c r="C75" i="4" s="1"/>
  <c r="C52" i="4"/>
  <c r="C51" i="4"/>
  <c r="C67" i="4" s="1"/>
  <c r="C48" i="4"/>
  <c r="C19" i="4"/>
  <c r="C12" i="4"/>
  <c r="C24" i="4" s="1"/>
  <c r="D8" i="3"/>
  <c r="D14" i="3" s="1"/>
  <c r="A1" i="2"/>
  <c r="A1" i="3" s="1"/>
  <c r="D7" i="2"/>
  <c r="D9" i="2" s="1"/>
  <c r="D11" i="2" s="1"/>
  <c r="D13" i="2" s="1"/>
  <c r="D15" i="2" s="1"/>
  <c r="C7" i="2"/>
  <c r="C87" i="4" s="1"/>
  <c r="M16" i="1"/>
  <c r="L16" i="1"/>
  <c r="M14" i="1"/>
  <c r="L14" i="1"/>
  <c r="C128" i="4" s="1"/>
  <c r="M8" i="1"/>
  <c r="L8" i="1"/>
  <c r="M4" i="1"/>
  <c r="L4" i="1"/>
  <c r="F14" i="1"/>
  <c r="E14" i="1"/>
  <c r="F10" i="1"/>
  <c r="F7" i="1"/>
  <c r="F5" i="1"/>
  <c r="E10" i="1"/>
  <c r="E7" i="1"/>
  <c r="E5" i="1"/>
  <c r="C39" i="4" s="1"/>
  <c r="I83" i="4" l="1"/>
  <c r="G88" i="4"/>
  <c r="L11" i="1"/>
  <c r="AB10" i="6" s="1"/>
  <c r="E10" i="6"/>
  <c r="C27" i="6"/>
  <c r="I14" i="6"/>
  <c r="M19" i="1"/>
  <c r="M11" i="1"/>
  <c r="C32" i="4"/>
  <c r="C36" i="4" s="1"/>
  <c r="C40" i="4" s="1"/>
  <c r="Q21" i="1"/>
  <c r="C8" i="7"/>
  <c r="F4" i="1"/>
  <c r="F21" i="1" s="1"/>
  <c r="K18" i="6"/>
  <c r="C19" i="7"/>
  <c r="C7" i="4"/>
  <c r="C21" i="6"/>
  <c r="C47" i="4"/>
  <c r="E47" i="4" s="1"/>
  <c r="P36" i="1"/>
  <c r="P16" i="1"/>
  <c r="P21" i="1" s="1"/>
  <c r="B14" i="6"/>
  <c r="D10" i="6" s="1"/>
  <c r="C24" i="6"/>
  <c r="C9" i="2"/>
  <c r="E59" i="4"/>
  <c r="C64" i="4" s="1"/>
  <c r="E63" i="4" s="1"/>
  <c r="L19" i="1"/>
  <c r="E4" i="1"/>
  <c r="E21" i="1" s="1"/>
  <c r="E51" i="4"/>
  <c r="C56" i="4" s="1"/>
  <c r="E55" i="4" s="1"/>
  <c r="O18" i="6"/>
  <c r="C18" i="6"/>
  <c r="L10" i="6"/>
  <c r="H6" i="6" s="1"/>
  <c r="E67" i="4"/>
  <c r="C72" i="4" s="1"/>
  <c r="E71" i="4" s="1"/>
  <c r="C79" i="4"/>
  <c r="G92" i="4" l="1"/>
  <c r="I87" i="4"/>
  <c r="C3" i="4"/>
  <c r="D28" i="3"/>
  <c r="D31" i="3" s="1"/>
  <c r="C23" i="4"/>
  <c r="E23" i="4" s="1"/>
  <c r="C27" i="4"/>
  <c r="M21" i="1"/>
  <c r="M14" i="6"/>
  <c r="K10" i="6" s="1"/>
  <c r="G6" i="6" s="1"/>
  <c r="V6" i="6" s="1"/>
  <c r="C28" i="4"/>
  <c r="C7" i="7"/>
  <c r="C43" i="4"/>
  <c r="C31" i="4"/>
  <c r="E31" i="4" s="1"/>
  <c r="C76" i="4"/>
  <c r="E75" i="4" s="1"/>
  <c r="C35" i="4"/>
  <c r="E35" i="4" s="1"/>
  <c r="C27" i="7"/>
  <c r="D27" i="7" s="1"/>
  <c r="C18" i="7" s="1"/>
  <c r="D18" i="7" s="1"/>
  <c r="C132" i="4"/>
  <c r="C4" i="4"/>
  <c r="C99" i="4"/>
  <c r="C11" i="2"/>
  <c r="C124" i="4"/>
  <c r="C8" i="4"/>
  <c r="E7" i="4" s="1"/>
  <c r="C84" i="4"/>
  <c r="C12" i="7"/>
  <c r="L21" i="1"/>
  <c r="W6" i="6"/>
  <c r="Y2" i="6" s="1"/>
  <c r="C44" i="4"/>
  <c r="E39" i="4"/>
  <c r="C83" i="4"/>
  <c r="E79" i="4"/>
  <c r="E3" i="4" l="1"/>
  <c r="G96" i="4"/>
  <c r="I91" i="4"/>
  <c r="E27" i="4"/>
  <c r="E43" i="4"/>
  <c r="Y10" i="6"/>
  <c r="AE10" i="6" s="1"/>
  <c r="Z6" i="6" s="1"/>
  <c r="X2" i="6" s="1"/>
  <c r="C9" i="7"/>
  <c r="C22" i="7" s="1"/>
  <c r="D21" i="7" s="1"/>
  <c r="C15" i="7"/>
  <c r="D11" i="7"/>
  <c r="C13" i="2"/>
  <c r="C15" i="2" s="1"/>
  <c r="C91" i="4"/>
  <c r="C14" i="7"/>
  <c r="C95" i="4"/>
  <c r="C11" i="4"/>
  <c r="E11" i="4" s="1"/>
  <c r="C15" i="4"/>
  <c r="E15" i="4" s="1"/>
  <c r="E83" i="4"/>
  <c r="C88" i="4"/>
  <c r="G100" i="4" l="1"/>
  <c r="I95" i="4"/>
  <c r="D8" i="7"/>
  <c r="C123" i="4"/>
  <c r="C103" i="4"/>
  <c r="C107" i="4" s="1"/>
  <c r="E107" i="4" s="1"/>
  <c r="D14" i="7"/>
  <c r="E87" i="4"/>
  <c r="C92" i="4"/>
  <c r="G104" i="4" l="1"/>
  <c r="I99" i="4"/>
  <c r="A37" i="7"/>
  <c r="A40" i="7"/>
  <c r="A39" i="7"/>
  <c r="A35" i="7"/>
  <c r="C127" i="4"/>
  <c r="E123" i="4"/>
  <c r="C96" i="4"/>
  <c r="E91" i="4"/>
  <c r="G116" i="4" l="1"/>
  <c r="I103" i="4"/>
  <c r="E127" i="4"/>
  <c r="C131" i="4"/>
  <c r="E131" i="4" s="1"/>
  <c r="C100" i="4"/>
  <c r="E95" i="4"/>
  <c r="G119" i="4" l="1"/>
  <c r="G120" i="4"/>
  <c r="I115" i="4"/>
  <c r="C104" i="4"/>
  <c r="E99" i="4"/>
  <c r="I119" i="4" l="1"/>
  <c r="E103" i="4"/>
  <c r="C116" i="4"/>
  <c r="C120" i="4" l="1"/>
  <c r="E115" i="4"/>
  <c r="C119" i="4"/>
  <c r="E119" i="4" l="1"/>
</calcChain>
</file>

<file path=xl/sharedStrings.xml><?xml version="1.0" encoding="utf-8"?>
<sst xmlns="http://schemas.openxmlformats.org/spreadsheetml/2006/main" count="291" uniqueCount="183">
  <si>
    <t>ACTIVO</t>
  </si>
  <si>
    <t>CIRCULANTE</t>
  </si>
  <si>
    <t>DISPONIBLE</t>
  </si>
  <si>
    <t>EFECTIVO</t>
  </si>
  <si>
    <t>REALIZABLE</t>
  </si>
  <si>
    <t>CUENTAS POR COBRAR</t>
  </si>
  <si>
    <t>INVENTARIOS</t>
  </si>
  <si>
    <t>DIVERSOS</t>
  </si>
  <si>
    <t>OTRAS CUENTAS X COBRAR</t>
  </si>
  <si>
    <t>NO CIRCULANTE</t>
  </si>
  <si>
    <t>EDIFICIO MAQ Y EQUIPOS</t>
  </si>
  <si>
    <t>menos DEP. ACUM</t>
  </si>
  <si>
    <t>GASTOS DE INSTALACION</t>
  </si>
  <si>
    <t>menos AMORT.ACUM</t>
  </si>
  <si>
    <t>SUMA DEL ACTIVO</t>
  </si>
  <si>
    <t>PASIVO</t>
  </si>
  <si>
    <t>CORTO PLAZO</t>
  </si>
  <si>
    <t>PROVEEDORES</t>
  </si>
  <si>
    <t>ACREEDORES SIN COSTO</t>
  </si>
  <si>
    <t>ACREEDORES CON COSTO</t>
  </si>
  <si>
    <t>LARGO PLAZO</t>
  </si>
  <si>
    <t>SUMA DEL PASIVO</t>
  </si>
  <si>
    <t>CAPITAL</t>
  </si>
  <si>
    <t>CAPITAL CONTRIBUIDO</t>
  </si>
  <si>
    <t>CAPITAL GANADO</t>
  </si>
  <si>
    <t>UTILIDAD DEL EJERCICIO</t>
  </si>
  <si>
    <t>UTILIDADES RETENIDAS</t>
  </si>
  <si>
    <t>SUMA DEL CAPITAL CONTABLE</t>
  </si>
  <si>
    <t>SUMA DEL PASIVO + CAPITAL</t>
  </si>
  <si>
    <t>VENTAS</t>
  </si>
  <si>
    <t>COSTO DE VENTAS</t>
  </si>
  <si>
    <t>UTILIDAD BRUTA</t>
  </si>
  <si>
    <t>GASTOS DE OPERACIÓN</t>
  </si>
  <si>
    <t>UT. DE OP. ANTES DE DEP.</t>
  </si>
  <si>
    <t>DEPRECIACIONES Y AMORTIZ.</t>
  </si>
  <si>
    <t>UTILIDAD DE OPERACIÓN</t>
  </si>
  <si>
    <t>COSTO INTEGRAL DE FINANCIAMIENTO</t>
  </si>
  <si>
    <t>UTILIDAD ANTES DE IMPTOS</t>
  </si>
  <si>
    <t>IMPTOS</t>
  </si>
  <si>
    <t>UTILIDAD NETA</t>
  </si>
  <si>
    <t>DE OPERACIÓN</t>
  </si>
  <si>
    <t>MAS</t>
  </si>
  <si>
    <t>SUMA</t>
  </si>
  <si>
    <t>FLUJOS DERIVADOS DE LA OPERACIÓN</t>
  </si>
  <si>
    <t>MAS:</t>
  </si>
  <si>
    <t>FLUJO GENERADO POR LA OPERACIÓN</t>
  </si>
  <si>
    <t>DE FINANCIAMIENTO</t>
  </si>
  <si>
    <t>DE INVERSION</t>
  </si>
  <si>
    <t>FLUJO REQUERIDO POR INVERSIONES</t>
  </si>
  <si>
    <t>FLUJO GENERADO EN EL PERIODO</t>
  </si>
  <si>
    <t>SALDO INICIAL DE EFECTIVO</t>
  </si>
  <si>
    <t>SALDO FINAL DE EFECTIVO</t>
  </si>
  <si>
    <t>DEUDA A CAPITAL CONTABLE</t>
  </si>
  <si>
    <t>PT</t>
  </si>
  <si>
    <t>CC</t>
  </si>
  <si>
    <t>=</t>
  </si>
  <si>
    <t>COBERTURA DE INTERES</t>
  </si>
  <si>
    <t>UAFI</t>
  </si>
  <si>
    <t>CIF</t>
  </si>
  <si>
    <t>AT</t>
  </si>
  <si>
    <t>DEUDA A ACTIVOS TOTALES</t>
  </si>
  <si>
    <t>COBERTURA DE CARGOS FIJOS</t>
  </si>
  <si>
    <t>UACFI</t>
  </si>
  <si>
    <t>CF</t>
  </si>
  <si>
    <t>CF = INTERESES, PAGOS AL CAPITAL DE LA DEUDA</t>
  </si>
  <si>
    <t>INTERESES=</t>
  </si>
  <si>
    <t>PAGOS AL CAPITAL DE LA DEUDA=</t>
  </si>
  <si>
    <t>COBERTURA DE FLUJO</t>
  </si>
  <si>
    <t>FOAFI</t>
  </si>
  <si>
    <t>COBERTURA DE DEUDA</t>
  </si>
  <si>
    <t>FO</t>
  </si>
  <si>
    <t>DT</t>
  </si>
  <si>
    <t>PRUEBA DE LIQUIDEZ</t>
  </si>
  <si>
    <t>AC</t>
  </si>
  <si>
    <t>PC</t>
  </si>
  <si>
    <t>PRUEBA DEL ACIDO</t>
  </si>
  <si>
    <t>AC-I</t>
  </si>
  <si>
    <t>LIQUIDEZ INMEDIATA</t>
  </si>
  <si>
    <t>E</t>
  </si>
  <si>
    <t>MARGEN DE SEGURIDAD</t>
  </si>
  <si>
    <t>CTN</t>
  </si>
  <si>
    <t>INTERVALO DEFENSIVO</t>
  </si>
  <si>
    <t>E+IT+C</t>
  </si>
  <si>
    <t>GPsD</t>
  </si>
  <si>
    <t>ROTACION DE INVENTARIOS</t>
  </si>
  <si>
    <t>CV</t>
  </si>
  <si>
    <t>PROM INVENT</t>
  </si>
  <si>
    <t>ANTIGÜEDAD PROMEDIO DE INVENTARIOS</t>
  </si>
  <si>
    <t>ROT. INV</t>
  </si>
  <si>
    <t>ROTACION DE CUENTAS POR COBRAR</t>
  </si>
  <si>
    <t>VN</t>
  </si>
  <si>
    <t>PROM.CXC</t>
  </si>
  <si>
    <t>ANTIGÜEDAD DE CUENTAS POR COBRAR</t>
  </si>
  <si>
    <t>ROT.CXC</t>
  </si>
  <si>
    <t>ROTACION DE CUENTAS POR PAGAR</t>
  </si>
  <si>
    <t>PROM.CXP</t>
  </si>
  <si>
    <t>ANTIGÜEDAD DE CUENTAS POR PAGAR</t>
  </si>
  <si>
    <t>ROT.CXP</t>
  </si>
  <si>
    <t>ROTACION DEL CAPITAL DE TRABAJO</t>
  </si>
  <si>
    <t>ROTACION DE ACTIVOS PRODUCTIVOS</t>
  </si>
  <si>
    <t>AP</t>
  </si>
  <si>
    <t>ROTACION DE ACTIVOS TOTALES</t>
  </si>
  <si>
    <t>MARGEN DE UTILIDAD BRUTA</t>
  </si>
  <si>
    <t>UB</t>
  </si>
  <si>
    <t>MARGEN DE UTILIDAD OPERATIVA</t>
  </si>
  <si>
    <t>MARGEN DE UTILIDAD ANTES DE FINANCIAMIENTOS E IMPUESTOS</t>
  </si>
  <si>
    <t>MARGEN DE UTILIDAD ANTES DE FINANCIAMIENTOS, IMPTOS, DEPREC. Y AMORTIZ.</t>
  </si>
  <si>
    <t>UO</t>
  </si>
  <si>
    <t>UAFIDA</t>
  </si>
  <si>
    <t>MARGEN DE UTILIDAD NETA</t>
  </si>
  <si>
    <t>UN</t>
  </si>
  <si>
    <t>UTILIDAD POR ACCION</t>
  </si>
  <si>
    <t>UA</t>
  </si>
  <si>
    <t>CAPITAL SOCIAL *</t>
  </si>
  <si>
    <t>* LAS ACCIONES DE LA EMPRESA TIENEN VALOR NOMINAL DE $1,000</t>
  </si>
  <si>
    <t>CRECIMIENTO EN VENTAS</t>
  </si>
  <si>
    <t>VNPAC-VNPAN</t>
  </si>
  <si>
    <t>VNPAN</t>
  </si>
  <si>
    <t>GASTOS A VENTAS</t>
  </si>
  <si>
    <t>GASTOS</t>
  </si>
  <si>
    <t>CONTRIBUCION MARGINAL</t>
  </si>
  <si>
    <t>VN-CV</t>
  </si>
  <si>
    <t>RETORNO DE ACTIVOS</t>
  </si>
  <si>
    <t>RETORNO DE CAPITAL CONTRIBUIDO</t>
  </si>
  <si>
    <t>CCO</t>
  </si>
  <si>
    <t>RETORNO DE CAPITAL TOTAL</t>
  </si>
  <si>
    <t>*365  =</t>
  </si>
  <si>
    <t>utilidad</t>
  </si>
  <si>
    <t>depre</t>
  </si>
  <si>
    <t>suma</t>
  </si>
  <si>
    <t>COSTOS</t>
  </si>
  <si>
    <t>GASTOS &amp; DEP</t>
  </si>
  <si>
    <t>MARGEN DE UTILIDAD</t>
  </si>
  <si>
    <t>ROTACION DE ACTIVOS</t>
  </si>
  <si>
    <t>ACTIVOS TOTALES</t>
  </si>
  <si>
    <t>ACTIVOS CIRCULANTES</t>
  </si>
  <si>
    <t>ACTIVOS NO CIRCULANTES</t>
  </si>
  <si>
    <t>OTRAS CTAS X COBRAR</t>
  </si>
  <si>
    <t>ROA</t>
  </si>
  <si>
    <t>DEUDA TOTAL</t>
  </si>
  <si>
    <t>CAPITAL CONTABLE</t>
  </si>
  <si>
    <t>CC /AT</t>
  </si>
  <si>
    <t>ROI</t>
  </si>
  <si>
    <t>PUNTUACIÓN "Z" DE ALTMAN</t>
  </si>
  <si>
    <t>Activo Circulante</t>
  </si>
  <si>
    <t>X1=</t>
  </si>
  <si>
    <t>menos Pasivo Circulante</t>
  </si>
  <si>
    <t>Activo Total</t>
  </si>
  <si>
    <t>%</t>
  </si>
  <si>
    <t>X2=</t>
  </si>
  <si>
    <t>Utilidades Retenidas</t>
  </si>
  <si>
    <t>X3=</t>
  </si>
  <si>
    <t>Utilidad de Operación</t>
  </si>
  <si>
    <t>Valor de Mercado del</t>
  </si>
  <si>
    <t>X4=</t>
  </si>
  <si>
    <t>Capital Accionario</t>
  </si>
  <si>
    <t>Pasivo Total</t>
  </si>
  <si>
    <t>X5=</t>
  </si>
  <si>
    <t>Ventas Netas</t>
  </si>
  <si>
    <t>veces</t>
  </si>
  <si>
    <t xml:space="preserve">Valor de Mercado de sus Acciones </t>
  </si>
  <si>
    <t>Numero de acciones</t>
  </si>
  <si>
    <t>Precio Mercado</t>
  </si>
  <si>
    <t>Total</t>
  </si>
  <si>
    <t>Por ser una empresa que no cotiza en bolsa, y que sus acciones no son de circulacion consuetudinaria, se considera como valor de mercado el Valor en Libros del Capital Contable</t>
  </si>
  <si>
    <t xml:space="preserve">Z = 1.2 (X1) + 1.4 (X2) + 3.3 (X3) + 0.6 (X4) + 1.0 (X5)  </t>
  </si>
  <si>
    <t>Si "Z" &lt; 1.81 = Probabilidad Elevada de Quiebra</t>
  </si>
  <si>
    <t>Si "Z" &gt; 1.81 y &lt; 3.0 = No determinante</t>
  </si>
  <si>
    <t>Si "Z" &gt; 3.0 = Escasa Probabilidad de Quiebra</t>
  </si>
  <si>
    <t>EJEMPLO</t>
  </si>
  <si>
    <t>Información Financiera del Año 2006</t>
  </si>
  <si>
    <t>(pesos)</t>
  </si>
  <si>
    <t>FLUJO GENERADO POR FINANCIAMIENTO</t>
  </si>
  <si>
    <t>ESTADO DE RESULTADOS COMPARATIVO  (miles de pesos)</t>
  </si>
  <si>
    <t>en miles de pesos</t>
  </si>
  <si>
    <t>EMPRESA DE PRUEBA, SA</t>
  </si>
  <si>
    <t>DEPRECIACION DEL EJERCICIO</t>
  </si>
  <si>
    <t>MAS/MENOS:</t>
  </si>
  <si>
    <t>AUMENTOS (DISMINUCIONES) DE OPERACIÓN</t>
  </si>
  <si>
    <t>AUMENOTS (DISMINUCIONES DE FINANCIAMIENTO</t>
  </si>
  <si>
    <t>AUMENTOS (DISMINUCIONES) DE INVERSION</t>
  </si>
  <si>
    <t>ESTADO DE FLUJO DE EFECTIVO</t>
  </si>
  <si>
    <t>BALANCE GENERAL COMPARATIVO AL 31 DE DICIEMBRE(miles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</si>
</sst>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.0000_-;\-* #,##0.0000_-;_-* &quot;-&quot;??_-;_-@_-"/>
    <numFmt numFmtId="166" formatCode="\-"/>
    <numFmt numFmtId="167" formatCode="&quot;$&quot;#,##0.000;[Red]\-&quot;$&quot;#,##0.000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6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43" fontId="3" fillId="0" borderId="2" xfId="1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3" fontId="3" fillId="0" borderId="11" xfId="1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5" fillId="0" borderId="0" xfId="0" applyNumberFormat="1" applyFont="1"/>
    <xf numFmtId="0" fontId="0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43" fontId="8" fillId="0" borderId="0" xfId="1" applyFont="1"/>
    <xf numFmtId="0" fontId="9" fillId="0" borderId="12" xfId="0" applyFont="1" applyBorder="1"/>
    <xf numFmtId="43" fontId="9" fillId="0" borderId="12" xfId="1" applyFont="1" applyBorder="1"/>
    <xf numFmtId="43" fontId="9" fillId="0" borderId="13" xfId="1" applyFont="1" applyBorder="1"/>
    <xf numFmtId="43" fontId="0" fillId="0" borderId="14" xfId="1" applyFont="1" applyBorder="1"/>
    <xf numFmtId="43" fontId="7" fillId="0" borderId="0" xfId="1" applyFont="1"/>
    <xf numFmtId="43" fontId="7" fillId="0" borderId="13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Border="1"/>
    <xf numFmtId="0" fontId="10" fillId="0" borderId="0" xfId="0" applyFont="1"/>
    <xf numFmtId="43" fontId="10" fillId="4" borderId="18" xfId="1" applyFont="1" applyFill="1" applyBorder="1"/>
    <xf numFmtId="0" fontId="10" fillId="0" borderId="21" xfId="0" applyFont="1" applyBorder="1"/>
    <xf numFmtId="0" fontId="10" fillId="0" borderId="19" xfId="0" applyFont="1" applyBorder="1"/>
    <xf numFmtId="0" fontId="10" fillId="0" borderId="12" xfId="0" applyFont="1" applyBorder="1"/>
    <xf numFmtId="0" fontId="10" fillId="0" borderId="20" xfId="0" applyFont="1" applyBorder="1"/>
    <xf numFmtId="10" fontId="10" fillId="3" borderId="17" xfId="3" applyNumberFormat="1" applyFont="1" applyFill="1" applyBorder="1"/>
    <xf numFmtId="0" fontId="10" fillId="4" borderId="18" xfId="1" applyNumberFormat="1" applyFont="1" applyFill="1" applyBorder="1"/>
    <xf numFmtId="43" fontId="10" fillId="3" borderId="2" xfId="1" applyFont="1" applyFill="1" applyBorder="1"/>
    <xf numFmtId="43" fontId="10" fillId="4" borderId="2" xfId="1" applyFont="1" applyFill="1" applyBorder="1"/>
    <xf numFmtId="0" fontId="10" fillId="0" borderId="4" xfId="0" applyFont="1" applyBorder="1"/>
    <xf numFmtId="0" fontId="10" fillId="0" borderId="7" xfId="0" applyFont="1" applyBorder="1"/>
    <xf numFmtId="0" fontId="10" fillId="0" borderId="0" xfId="0" applyFont="1" applyBorder="1"/>
    <xf numFmtId="0" fontId="10" fillId="0" borderId="22" xfId="0" applyFont="1" applyBorder="1"/>
    <xf numFmtId="0" fontId="10" fillId="0" borderId="11" xfId="0" applyFont="1" applyBorder="1"/>
    <xf numFmtId="43" fontId="10" fillId="4" borderId="2" xfId="1" applyFont="1" applyFill="1" applyBorder="1" applyProtection="1">
      <protection locked="0"/>
    </xf>
    <xf numFmtId="0" fontId="10" fillId="0" borderId="0" xfId="0" applyFont="1" applyProtection="1"/>
    <xf numFmtId="10" fontId="10" fillId="4" borderId="18" xfId="3" applyNumberFormat="1" applyFont="1" applyFill="1" applyBorder="1"/>
    <xf numFmtId="164" fontId="10" fillId="3" borderId="17" xfId="1" applyNumberFormat="1" applyFont="1" applyFill="1" applyBorder="1"/>
    <xf numFmtId="43" fontId="10" fillId="3" borderId="17" xfId="1" applyNumberFormat="1" applyFont="1" applyFill="1" applyBorder="1"/>
    <xf numFmtId="0" fontId="10" fillId="0" borderId="23" xfId="0" applyFont="1" applyBorder="1"/>
    <xf numFmtId="43" fontId="10" fillId="3" borderId="2" xfId="1" applyFont="1" applyFill="1" applyBorder="1" applyProtection="1"/>
    <xf numFmtId="43" fontId="10" fillId="4" borderId="2" xfId="1" applyFont="1" applyFill="1" applyBorder="1" applyProtection="1"/>
    <xf numFmtId="0" fontId="0" fillId="5" borderId="0" xfId="0" applyFill="1"/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13" fillId="5" borderId="0" xfId="0" applyFont="1" applyFill="1" applyAlignment="1">
      <alignment horizontal="center"/>
    </xf>
    <xf numFmtId="3" fontId="13" fillId="5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167" fontId="0" fillId="5" borderId="0" xfId="0" applyNumberFormat="1" applyFill="1"/>
    <xf numFmtId="44" fontId="0" fillId="5" borderId="0" xfId="2" applyFont="1" applyFill="1"/>
    <xf numFmtId="0" fontId="12" fillId="5" borderId="0" xfId="0" applyFont="1" applyFill="1"/>
    <xf numFmtId="2" fontId="14" fillId="5" borderId="0" xfId="0" applyNumberFormat="1" applyFont="1" applyFill="1" applyAlignment="1">
      <alignment horizontal="left"/>
    </xf>
    <xf numFmtId="0" fontId="0" fillId="0" borderId="0" xfId="0" applyFont="1"/>
    <xf numFmtId="0" fontId="0" fillId="0" borderId="21" xfId="0" applyFont="1" applyBorder="1"/>
    <xf numFmtId="0" fontId="0" fillId="0" borderId="19" xfId="0" applyFont="1" applyBorder="1"/>
    <xf numFmtId="0" fontId="0" fillId="0" borderId="12" xfId="0" applyFont="1" applyBorder="1"/>
    <xf numFmtId="0" fontId="0" fillId="0" borderId="20" xfId="0" applyFont="1" applyBorder="1"/>
    <xf numFmtId="0" fontId="0" fillId="0" borderId="1" xfId="0" applyFont="1" applyBorder="1"/>
    <xf numFmtId="0" fontId="0" fillId="0" borderId="0" xfId="0" applyFont="1" applyProtection="1">
      <protection locked="0"/>
    </xf>
    <xf numFmtId="9" fontId="10" fillId="0" borderId="0" xfId="3" applyFont="1"/>
    <xf numFmtId="10" fontId="10" fillId="0" borderId="0" xfId="3" applyNumberFormat="1" applyFont="1"/>
    <xf numFmtId="168" fontId="10" fillId="0" borderId="0" xfId="3" applyNumberFormat="1" applyFont="1"/>
    <xf numFmtId="0" fontId="10" fillId="0" borderId="24" xfId="0" applyFont="1" applyBorder="1"/>
    <xf numFmtId="0" fontId="10" fillId="0" borderId="1" xfId="0" applyFont="1" applyBorder="1"/>
    <xf numFmtId="0" fontId="0" fillId="0" borderId="2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2" applyNumberFormat="1" applyFont="1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15" fillId="2" borderId="0" xfId="0" applyFont="1" applyFill="1"/>
    <xf numFmtId="43" fontId="15" fillId="2" borderId="0" xfId="0" applyNumberFormat="1" applyFont="1" applyFill="1"/>
    <xf numFmtId="0" fontId="15" fillId="2" borderId="1" xfId="0" applyFont="1" applyFill="1" applyBorder="1"/>
    <xf numFmtId="43" fontId="15" fillId="2" borderId="1" xfId="0" applyNumberFormat="1" applyFont="1" applyFill="1" applyBorder="1"/>
    <xf numFmtId="43" fontId="15" fillId="2" borderId="0" xfId="0" applyNumberFormat="1" applyFont="1" applyFill="1" applyAlignment="1">
      <alignment horizontal="center" vertical="center"/>
    </xf>
    <xf numFmtId="43" fontId="15" fillId="2" borderId="0" xfId="0" applyNumberFormat="1" applyFont="1" applyFill="1" applyAlignment="1">
      <alignment horizontal="left" vertical="center"/>
    </xf>
    <xf numFmtId="43" fontId="15" fillId="2" borderId="0" xfId="0" applyNumberFormat="1" applyFont="1" applyFill="1" applyAlignment="1">
      <alignment horizontal="center" vertical="center"/>
    </xf>
    <xf numFmtId="43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5" fontId="15" fillId="2" borderId="0" xfId="0" applyNumberFormat="1" applyFont="1" applyFill="1" applyAlignment="1">
      <alignment horizontal="left" vertical="center"/>
    </xf>
    <xf numFmtId="165" fontId="15" fillId="2" borderId="0" xfId="0" applyNumberFormat="1" applyFont="1" applyFill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zoomScale="90" zoomScaleNormal="90" workbookViewId="0">
      <selection activeCell="G16" sqref="G16"/>
    </sheetView>
  </sheetViews>
  <sheetFormatPr baseColWidth="10" defaultRowHeight="14.25" x14ac:dyDescent="0.45"/>
  <cols>
    <col min="1" max="3" width="3.19921875" customWidth="1"/>
    <col min="4" max="4" width="24.06640625" customWidth="1"/>
    <col min="5" max="5" width="17.6640625" style="1" customWidth="1"/>
    <col min="6" max="6" width="16.9296875" style="1" customWidth="1"/>
    <col min="7" max="7" width="17.3984375" style="1" customWidth="1"/>
    <col min="8" max="8" width="4.46484375" customWidth="1"/>
    <col min="9" max="10" width="4" customWidth="1"/>
    <col min="11" max="11" width="31.33203125" customWidth="1"/>
    <col min="12" max="12" width="16.9296875" customWidth="1"/>
    <col min="13" max="13" width="17.06640625" customWidth="1"/>
    <col min="14" max="14" width="19" customWidth="1"/>
  </cols>
  <sheetData>
    <row r="1" spans="1:17" x14ac:dyDescent="0.45">
      <c r="A1" s="82" t="s">
        <v>175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1"/>
    </row>
    <row r="2" spans="1:17" x14ac:dyDescent="0.45">
      <c r="A2" s="82" t="s">
        <v>182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1"/>
    </row>
    <row r="3" spans="1:17" ht="18.75" thickBot="1" x14ac:dyDescent="0.75">
      <c r="A3" s="7" t="s">
        <v>0</v>
      </c>
      <c r="E3" s="21">
        <v>2014</v>
      </c>
      <c r="F3" s="21">
        <v>2013</v>
      </c>
      <c r="G3" s="21">
        <v>2012</v>
      </c>
      <c r="I3" s="7" t="s">
        <v>15</v>
      </c>
      <c r="L3" s="21">
        <f>E3</f>
        <v>2014</v>
      </c>
      <c r="M3" s="21">
        <f>F3</f>
        <v>2013</v>
      </c>
      <c r="N3" s="21">
        <f>G3</f>
        <v>2012</v>
      </c>
    </row>
    <row r="4" spans="1:17" s="2" customFormat="1" ht="14.65" thickBot="1" x14ac:dyDescent="0.5">
      <c r="B4" s="14" t="s">
        <v>1</v>
      </c>
      <c r="C4" s="15"/>
      <c r="D4" s="16"/>
      <c r="E4" s="18">
        <f>+E5+E7+E10</f>
        <v>3580000</v>
      </c>
      <c r="F4" s="18">
        <f>+F5+F7+F10</f>
        <v>2550000</v>
      </c>
      <c r="G4" s="18">
        <f>+G5+G7+G10</f>
        <v>2270000</v>
      </c>
      <c r="J4" s="14" t="s">
        <v>16</v>
      </c>
      <c r="K4" s="16"/>
      <c r="L4" s="19">
        <f>SUM(L5:L7)</f>
        <v>1500000</v>
      </c>
      <c r="M4" s="19">
        <f>SUM(M5:M7)</f>
        <v>1500000</v>
      </c>
      <c r="N4" s="19">
        <f>SUM(N5:N7)</f>
        <v>2200000</v>
      </c>
    </row>
    <row r="5" spans="1:17" s="8" customFormat="1" x14ac:dyDescent="0.45">
      <c r="C5" s="12" t="s">
        <v>2</v>
      </c>
      <c r="D5" s="13"/>
      <c r="E5" s="17">
        <f>+E6</f>
        <v>1280000</v>
      </c>
      <c r="F5" s="17">
        <f>+F6</f>
        <v>350000</v>
      </c>
      <c r="G5" s="17">
        <f>+G6</f>
        <v>70000</v>
      </c>
      <c r="K5" t="s">
        <v>17</v>
      </c>
      <c r="L5" s="1">
        <v>1000000</v>
      </c>
      <c r="M5" s="1">
        <v>1000000</v>
      </c>
      <c r="N5" s="1">
        <v>1000000</v>
      </c>
      <c r="P5" s="33"/>
      <c r="Q5" s="33">
        <f>+M5-N5</f>
        <v>0</v>
      </c>
    </row>
    <row r="6" spans="1:17" x14ac:dyDescent="0.45">
      <c r="D6" t="s">
        <v>3</v>
      </c>
      <c r="E6" s="1">
        <v>1280000</v>
      </c>
      <c r="F6" s="1">
        <v>350000</v>
      </c>
      <c r="G6" s="1">
        <v>70000</v>
      </c>
      <c r="K6" t="s">
        <v>18</v>
      </c>
      <c r="L6" s="1"/>
      <c r="M6" s="1"/>
      <c r="N6" s="1">
        <v>700000</v>
      </c>
      <c r="P6" s="33">
        <f>+F6-G6</f>
        <v>280000</v>
      </c>
      <c r="Q6" s="33">
        <f t="shared" ref="Q6:Q9" si="0">+M6-N6</f>
        <v>-700000</v>
      </c>
    </row>
    <row r="7" spans="1:17" s="3" customFormat="1" ht="14.65" thickBot="1" x14ac:dyDescent="0.5">
      <c r="C7" s="9" t="s">
        <v>4</v>
      </c>
      <c r="D7" s="10"/>
      <c r="E7" s="11">
        <f>SUM(E8:E9)</f>
        <v>2000000</v>
      </c>
      <c r="F7" s="11">
        <f>SUM(F8:F9)</f>
        <v>2000000</v>
      </c>
      <c r="G7" s="11">
        <f>SUM(G8:G9)</f>
        <v>2000000</v>
      </c>
      <c r="K7" t="s">
        <v>19</v>
      </c>
      <c r="L7" s="1">
        <v>500000</v>
      </c>
      <c r="M7" s="1">
        <v>500000</v>
      </c>
      <c r="N7" s="1">
        <v>500000</v>
      </c>
      <c r="Q7" s="33">
        <f t="shared" si="0"/>
        <v>0</v>
      </c>
    </row>
    <row r="8" spans="1:17" ht="14.65" thickBot="1" x14ac:dyDescent="0.5">
      <c r="D8" t="s">
        <v>5</v>
      </c>
      <c r="E8" s="1">
        <v>1000000</v>
      </c>
      <c r="F8" s="1">
        <v>1000000</v>
      </c>
      <c r="G8" s="1">
        <v>1000000</v>
      </c>
      <c r="J8" s="14" t="s">
        <v>20</v>
      </c>
      <c r="K8" s="16"/>
      <c r="L8" s="19">
        <f>L9</f>
        <v>2000000</v>
      </c>
      <c r="M8" s="19">
        <f>M9</f>
        <v>2500000</v>
      </c>
      <c r="N8" s="19">
        <f>N9</f>
        <v>3000000</v>
      </c>
      <c r="P8" s="33">
        <f>+F8-G8</f>
        <v>0</v>
      </c>
    </row>
    <row r="9" spans="1:17" x14ac:dyDescent="0.45">
      <c r="D9" t="s">
        <v>6</v>
      </c>
      <c r="E9" s="1">
        <v>1000000</v>
      </c>
      <c r="F9" s="1">
        <v>1000000</v>
      </c>
      <c r="G9" s="1">
        <v>1000000</v>
      </c>
      <c r="K9" t="s">
        <v>19</v>
      </c>
      <c r="L9" s="1">
        <v>2000000</v>
      </c>
      <c r="M9" s="1">
        <v>2500000</v>
      </c>
      <c r="N9" s="1">
        <v>3000000</v>
      </c>
      <c r="P9" s="33">
        <f>+F9-G9</f>
        <v>0</v>
      </c>
      <c r="Q9" s="33">
        <f t="shared" si="0"/>
        <v>-500000</v>
      </c>
    </row>
    <row r="10" spans="1:17" s="4" customFormat="1" x14ac:dyDescent="0.45">
      <c r="C10" s="9" t="s">
        <v>7</v>
      </c>
      <c r="D10" s="10"/>
      <c r="E10" s="11">
        <f>SUM(E11)</f>
        <v>300000</v>
      </c>
      <c r="F10" s="11">
        <f>SUM(F11)</f>
        <v>200000</v>
      </c>
      <c r="G10" s="11">
        <f>SUM(G11)</f>
        <v>200000</v>
      </c>
    </row>
    <row r="11" spans="1:17" ht="16.899999999999999" x14ac:dyDescent="0.65">
      <c r="D11" t="s">
        <v>8</v>
      </c>
      <c r="E11" s="1">
        <v>300000</v>
      </c>
      <c r="F11" s="1">
        <v>200000</v>
      </c>
      <c r="G11" s="1">
        <v>200000</v>
      </c>
      <c r="J11" s="5" t="s">
        <v>21</v>
      </c>
      <c r="K11" s="5"/>
      <c r="L11" s="20">
        <f>+L4+L8</f>
        <v>3500000</v>
      </c>
      <c r="M11" s="20">
        <f>+M4+M8</f>
        <v>4000000</v>
      </c>
      <c r="N11" s="20">
        <f>+N4+N8</f>
        <v>5200000</v>
      </c>
      <c r="P11" s="33">
        <f>+F11-G11</f>
        <v>0</v>
      </c>
    </row>
    <row r="13" spans="1:17" s="2" customFormat="1" ht="18.75" thickBot="1" x14ac:dyDescent="0.75">
      <c r="I13" s="7" t="s">
        <v>22</v>
      </c>
    </row>
    <row r="14" spans="1:17" ht="14.65" thickBot="1" x14ac:dyDescent="0.5">
      <c r="A14" s="2"/>
      <c r="B14" s="14" t="s">
        <v>9</v>
      </c>
      <c r="C14" s="15"/>
      <c r="D14" s="16"/>
      <c r="E14" s="18">
        <f>SUM(E15:E18)</f>
        <v>6700000</v>
      </c>
      <c r="F14" s="18">
        <f>SUM(F15:F18)</f>
        <v>7450000</v>
      </c>
      <c r="G14" s="18">
        <f>SUM(G15:G18)</f>
        <v>8200000</v>
      </c>
      <c r="J14" s="14" t="s">
        <v>23</v>
      </c>
      <c r="K14" s="16"/>
      <c r="L14" s="19">
        <f>L15</f>
        <v>5000000</v>
      </c>
      <c r="M14" s="19">
        <f>M15</f>
        <v>5000000</v>
      </c>
      <c r="N14" s="19">
        <f>N15</f>
        <v>5000000</v>
      </c>
    </row>
    <row r="15" spans="1:17" ht="14.65" thickBot="1" x14ac:dyDescent="0.5">
      <c r="C15" t="s">
        <v>10</v>
      </c>
      <c r="E15" s="1">
        <v>9200000</v>
      </c>
      <c r="F15" s="1">
        <v>9200000</v>
      </c>
      <c r="G15" s="1">
        <v>9200000</v>
      </c>
      <c r="K15" t="s">
        <v>113</v>
      </c>
      <c r="L15" s="1">
        <v>5000000</v>
      </c>
      <c r="M15" s="1">
        <v>5000000</v>
      </c>
      <c r="N15" s="1">
        <v>5000000</v>
      </c>
      <c r="P15" s="33">
        <f t="shared" ref="P15:P18" si="1">+F15-G15</f>
        <v>0</v>
      </c>
      <c r="Q15" s="33">
        <f t="shared" ref="Q15:Q18" si="2">+M15-N15</f>
        <v>0</v>
      </c>
    </row>
    <row r="16" spans="1:17" ht="14.65" thickBot="1" x14ac:dyDescent="0.5">
      <c r="C16" t="s">
        <v>11</v>
      </c>
      <c r="E16" s="1">
        <f>-1750000-750000</f>
        <v>-2500000</v>
      </c>
      <c r="F16" s="1">
        <v>-1750000</v>
      </c>
      <c r="G16" s="1">
        <v>-1000000</v>
      </c>
      <c r="J16" s="14" t="s">
        <v>24</v>
      </c>
      <c r="K16" s="16"/>
      <c r="L16" s="19">
        <f>SUM(L17:L18)</f>
        <v>1780000</v>
      </c>
      <c r="M16" s="19">
        <f>SUM(M17:M18)</f>
        <v>1000000</v>
      </c>
      <c r="N16" s="19">
        <f>SUM(N17:N18)</f>
        <v>270000</v>
      </c>
      <c r="P16" s="33">
        <f t="shared" si="1"/>
        <v>-750000</v>
      </c>
    </row>
    <row r="17" spans="1:17" x14ac:dyDescent="0.45">
      <c r="C17" t="s">
        <v>12</v>
      </c>
      <c r="E17" s="1">
        <v>0</v>
      </c>
      <c r="F17" s="1">
        <v>0</v>
      </c>
      <c r="G17" s="1">
        <v>0</v>
      </c>
      <c r="J17" s="8"/>
      <c r="K17" t="s">
        <v>25</v>
      </c>
      <c r="L17" s="1">
        <v>780000</v>
      </c>
      <c r="M17" s="1">
        <v>730000</v>
      </c>
      <c r="N17" s="1">
        <v>270000</v>
      </c>
      <c r="P17" s="33">
        <f t="shared" si="1"/>
        <v>0</v>
      </c>
      <c r="Q17" s="33">
        <f t="shared" si="2"/>
        <v>460000</v>
      </c>
    </row>
    <row r="18" spans="1:17" x14ac:dyDescent="0.45">
      <c r="C18" t="s">
        <v>13</v>
      </c>
      <c r="E18" s="1">
        <v>0</v>
      </c>
      <c r="F18" s="1">
        <v>0</v>
      </c>
      <c r="G18" s="1">
        <v>0</v>
      </c>
      <c r="K18" t="s">
        <v>26</v>
      </c>
      <c r="L18" s="1">
        <f>M18+M17</f>
        <v>1000000</v>
      </c>
      <c r="M18" s="1">
        <v>270000</v>
      </c>
      <c r="N18" s="1">
        <v>0</v>
      </c>
      <c r="P18" s="33">
        <f t="shared" si="1"/>
        <v>0</v>
      </c>
      <c r="Q18" s="33">
        <f t="shared" si="2"/>
        <v>270000</v>
      </c>
    </row>
    <row r="19" spans="1:17" s="5" customFormat="1" ht="16.899999999999999" x14ac:dyDescent="0.65">
      <c r="J19" s="5" t="s">
        <v>27</v>
      </c>
      <c r="L19" s="20">
        <f>+L14+L16</f>
        <v>6780000</v>
      </c>
      <c r="M19" s="20">
        <f>+M14+M16</f>
        <v>6000000</v>
      </c>
      <c r="N19" s="20">
        <f>+N14+N16</f>
        <v>5270000</v>
      </c>
    </row>
    <row r="21" spans="1:17" ht="16.899999999999999" x14ac:dyDescent="0.65">
      <c r="A21" s="5"/>
      <c r="B21" s="5" t="s">
        <v>14</v>
      </c>
      <c r="C21" s="5"/>
      <c r="D21" s="5"/>
      <c r="E21" s="6">
        <f>+E4+E14</f>
        <v>10280000</v>
      </c>
      <c r="F21" s="6">
        <f>+F4+F14</f>
        <v>10000000</v>
      </c>
      <c r="G21" s="6">
        <f>+G4+G14</f>
        <v>10470000</v>
      </c>
      <c r="J21" s="5" t="s">
        <v>28</v>
      </c>
      <c r="L21" s="20">
        <f>+L11+L19</f>
        <v>10280000</v>
      </c>
      <c r="M21" s="20">
        <f>+M11+M19</f>
        <v>10000000</v>
      </c>
      <c r="N21" s="20">
        <f>+N11+N19</f>
        <v>10470000</v>
      </c>
      <c r="P21">
        <f>SUM(P4:P19)</f>
        <v>-470000</v>
      </c>
      <c r="Q21">
        <f>SUM(Q4:Q19)</f>
        <v>-470000</v>
      </c>
    </row>
    <row r="23" spans="1:17" x14ac:dyDescent="0.45">
      <c r="B23" t="s">
        <v>114</v>
      </c>
      <c r="L23" s="32"/>
      <c r="M23" s="32"/>
    </row>
    <row r="24" spans="1:17" x14ac:dyDescent="0.45">
      <c r="O24" t="s">
        <v>127</v>
      </c>
      <c r="P24">
        <v>24000</v>
      </c>
    </row>
    <row r="25" spans="1:17" x14ac:dyDescent="0.45">
      <c r="O25" t="s">
        <v>128</v>
      </c>
      <c r="P25">
        <v>69000</v>
      </c>
    </row>
    <row r="26" spans="1:17" x14ac:dyDescent="0.45">
      <c r="O26" t="s">
        <v>129</v>
      </c>
      <c r="P26">
        <f>+P24+P25</f>
        <v>93000</v>
      </c>
    </row>
    <row r="28" spans="1:17" x14ac:dyDescent="0.45">
      <c r="P28" s="32">
        <f>-P8</f>
        <v>0</v>
      </c>
    </row>
    <row r="29" spans="1:17" x14ac:dyDescent="0.45">
      <c r="P29" s="32">
        <f>-P9</f>
        <v>0</v>
      </c>
    </row>
    <row r="30" spans="1:17" x14ac:dyDescent="0.45">
      <c r="P30" s="32">
        <f>-P11</f>
        <v>0</v>
      </c>
    </row>
    <row r="31" spans="1:17" x14ac:dyDescent="0.45">
      <c r="P31" s="32">
        <f>+Q5</f>
        <v>0</v>
      </c>
    </row>
    <row r="32" spans="1:17" x14ac:dyDescent="0.45">
      <c r="P32" s="32">
        <f>+Q6</f>
        <v>-700000</v>
      </c>
    </row>
    <row r="33" spans="16:16" x14ac:dyDescent="0.45">
      <c r="P33" s="32">
        <f>+Q9</f>
        <v>-500000</v>
      </c>
    </row>
    <row r="34" spans="16:16" x14ac:dyDescent="0.45">
      <c r="P34" s="32">
        <v>-7500</v>
      </c>
    </row>
    <row r="36" spans="16:16" x14ac:dyDescent="0.45">
      <c r="P36" s="1">
        <f>SUM(P26:P34)</f>
        <v>-1114500</v>
      </c>
    </row>
  </sheetData>
  <mergeCells count="2">
    <mergeCell ref="A2:M2"/>
    <mergeCell ref="A1:M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D5" sqref="D5"/>
    </sheetView>
  </sheetViews>
  <sheetFormatPr baseColWidth="10" defaultRowHeight="14.25" x14ac:dyDescent="0.45"/>
  <cols>
    <col min="1" max="1" width="4.33203125" customWidth="1"/>
    <col min="2" max="2" width="38.265625" customWidth="1"/>
    <col min="3" max="3" width="20.53125" style="1" customWidth="1"/>
    <col min="4" max="4" width="20.796875" style="1" customWidth="1"/>
    <col min="5" max="5" width="3.06640625" style="1" customWidth="1"/>
  </cols>
  <sheetData>
    <row r="1" spans="1:6" x14ac:dyDescent="0.45">
      <c r="A1" s="82" t="str">
        <f>+BG!A1</f>
        <v>EMPRESA DE PRUEBA, SA</v>
      </c>
      <c r="B1" s="82"/>
      <c r="C1" s="82"/>
      <c r="D1" s="82"/>
      <c r="E1"/>
    </row>
    <row r="2" spans="1:6" x14ac:dyDescent="0.45">
      <c r="A2" s="82" t="s">
        <v>173</v>
      </c>
      <c r="B2" s="82"/>
      <c r="C2" s="82"/>
      <c r="D2" s="82"/>
      <c r="E2"/>
    </row>
    <row r="3" spans="1:6" x14ac:dyDescent="0.45">
      <c r="C3" s="21">
        <f>BG!E3</f>
        <v>2014</v>
      </c>
      <c r="D3" s="21">
        <f>BG!F3</f>
        <v>2013</v>
      </c>
      <c r="E3" s="21"/>
    </row>
    <row r="5" spans="1:6" ht="15.4" x14ac:dyDescent="0.45">
      <c r="A5" s="23" t="s">
        <v>29</v>
      </c>
      <c r="B5" s="23"/>
      <c r="C5" s="24">
        <v>12000000</v>
      </c>
      <c r="D5" s="24">
        <v>12000000</v>
      </c>
      <c r="E5" s="24"/>
    </row>
    <row r="6" spans="1:6" ht="15.4" x14ac:dyDescent="0.45">
      <c r="A6" s="23" t="s">
        <v>30</v>
      </c>
      <c r="B6" s="23"/>
      <c r="C6" s="24">
        <v>5500000</v>
      </c>
      <c r="D6" s="24">
        <v>5500000</v>
      </c>
      <c r="E6" s="24"/>
    </row>
    <row r="7" spans="1:6" ht="15.4" x14ac:dyDescent="0.45">
      <c r="A7" s="23"/>
      <c r="B7" s="25" t="s">
        <v>31</v>
      </c>
      <c r="C7" s="26">
        <f>+C5-C6</f>
        <v>6500000</v>
      </c>
      <c r="D7" s="26">
        <f>+D5-D6</f>
        <v>6500000</v>
      </c>
      <c r="E7" s="26"/>
    </row>
    <row r="8" spans="1:6" ht="15.4" x14ac:dyDescent="0.45">
      <c r="A8" s="23" t="s">
        <v>32</v>
      </c>
      <c r="B8" s="23"/>
      <c r="C8" s="24">
        <v>3500000</v>
      </c>
      <c r="D8" s="24">
        <v>3500000</v>
      </c>
      <c r="E8" s="24"/>
    </row>
    <row r="9" spans="1:6" ht="15.4" x14ac:dyDescent="0.45">
      <c r="A9" s="23"/>
      <c r="B9" s="25" t="s">
        <v>33</v>
      </c>
      <c r="C9" s="26">
        <f>+C7-C8</f>
        <v>3000000</v>
      </c>
      <c r="D9" s="26">
        <f>+D7-D8</f>
        <v>3000000</v>
      </c>
      <c r="E9" s="26"/>
    </row>
    <row r="10" spans="1:6" ht="15.4" x14ac:dyDescent="0.45">
      <c r="A10" s="23" t="s">
        <v>34</v>
      </c>
      <c r="B10" s="23"/>
      <c r="C10" s="24">
        <v>750000</v>
      </c>
      <c r="D10" s="24">
        <v>750000</v>
      </c>
      <c r="E10" s="24"/>
    </row>
    <row r="11" spans="1:6" ht="15.4" x14ac:dyDescent="0.45">
      <c r="A11" s="23"/>
      <c r="B11" s="25" t="s">
        <v>35</v>
      </c>
      <c r="C11" s="26">
        <f>+C9-C10</f>
        <v>2250000</v>
      </c>
      <c r="D11" s="26">
        <f>+D9-D10</f>
        <v>2250000</v>
      </c>
      <c r="E11" s="26"/>
    </row>
    <row r="12" spans="1:6" ht="15.4" x14ac:dyDescent="0.45">
      <c r="A12" s="23" t="s">
        <v>36</v>
      </c>
      <c r="B12" s="23"/>
      <c r="C12" s="24">
        <v>600000</v>
      </c>
      <c r="D12" s="24">
        <v>720000</v>
      </c>
      <c r="E12" s="24"/>
    </row>
    <row r="13" spans="1:6" ht="15.4" x14ac:dyDescent="0.45">
      <c r="A13" s="23"/>
      <c r="B13" s="25" t="s">
        <v>37</v>
      </c>
      <c r="C13" s="26">
        <f>+C11-C12</f>
        <v>1650000</v>
      </c>
      <c r="D13" s="26">
        <f>+D11-D12</f>
        <v>1530000</v>
      </c>
      <c r="E13" s="26"/>
    </row>
    <row r="14" spans="1:6" ht="15.4" x14ac:dyDescent="0.45">
      <c r="A14" s="23" t="s">
        <v>38</v>
      </c>
      <c r="B14" s="23"/>
      <c r="C14" s="24">
        <v>870000</v>
      </c>
      <c r="D14" s="24">
        <v>800000</v>
      </c>
      <c r="E14" s="24"/>
      <c r="F14" s="32"/>
    </row>
    <row r="15" spans="1:6" ht="15.75" thickBot="1" x14ac:dyDescent="0.5">
      <c r="A15" s="23"/>
      <c r="B15" s="25" t="s">
        <v>39</v>
      </c>
      <c r="C15" s="27">
        <f>+C13-C14</f>
        <v>780000</v>
      </c>
      <c r="D15" s="27">
        <f>+D13-D14</f>
        <v>730000</v>
      </c>
      <c r="E15" s="27"/>
    </row>
    <row r="16" spans="1:6" ht="14.65" thickTop="1" x14ac:dyDescent="0.4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H1" sqref="H1"/>
    </sheetView>
  </sheetViews>
  <sheetFormatPr baseColWidth="10" defaultRowHeight="14.25" x14ac:dyDescent="0.45"/>
  <cols>
    <col min="1" max="1" width="4.59765625" customWidth="1"/>
    <col min="2" max="2" width="8.33203125" customWidth="1"/>
    <col min="3" max="3" width="41.53125" customWidth="1"/>
    <col min="4" max="5" width="17.9296875" style="1" bestFit="1" customWidth="1"/>
  </cols>
  <sheetData>
    <row r="1" spans="1:5" x14ac:dyDescent="0.45">
      <c r="A1" s="82" t="str">
        <f>+ER!A1</f>
        <v>EMPRESA DE PRUEBA, SA</v>
      </c>
      <c r="B1" s="82"/>
      <c r="C1" s="82"/>
      <c r="D1" s="82"/>
      <c r="E1"/>
    </row>
    <row r="2" spans="1:5" ht="35.450000000000003" customHeight="1" x14ac:dyDescent="0.45">
      <c r="A2" s="83" t="s">
        <v>181</v>
      </c>
      <c r="B2" s="83"/>
      <c r="C2" s="83"/>
      <c r="D2" s="83"/>
      <c r="E2"/>
    </row>
    <row r="3" spans="1:5" x14ac:dyDescent="0.45">
      <c r="C3" s="81" t="s">
        <v>174</v>
      </c>
      <c r="D3" s="21">
        <f>BG!E3</f>
        <v>2014</v>
      </c>
      <c r="E3" s="21">
        <f>BG!F3</f>
        <v>2013</v>
      </c>
    </row>
    <row r="4" spans="1:5" ht="16.899999999999999" x14ac:dyDescent="0.65">
      <c r="A4" s="22" t="s">
        <v>40</v>
      </c>
    </row>
    <row r="5" spans="1:5" x14ac:dyDescent="0.45">
      <c r="C5" t="s">
        <v>25</v>
      </c>
      <c r="D5" s="1">
        <f>ER!C15</f>
        <v>780000</v>
      </c>
      <c r="E5" s="1">
        <f>ER!D15</f>
        <v>730000</v>
      </c>
    </row>
    <row r="6" spans="1:5" x14ac:dyDescent="0.45">
      <c r="B6" t="s">
        <v>41</v>
      </c>
    </row>
    <row r="7" spans="1:5" x14ac:dyDescent="0.45">
      <c r="C7" t="s">
        <v>176</v>
      </c>
      <c r="D7" s="1">
        <f>ER!C10</f>
        <v>750000</v>
      </c>
      <c r="E7" s="1">
        <f>ER!D10</f>
        <v>750000</v>
      </c>
    </row>
    <row r="8" spans="1:5" x14ac:dyDescent="0.45">
      <c r="B8" t="s">
        <v>42</v>
      </c>
      <c r="D8" s="28">
        <f>+D5+D7</f>
        <v>1530000</v>
      </c>
      <c r="E8" s="28">
        <f>+E5+E7</f>
        <v>1480000</v>
      </c>
    </row>
    <row r="10" spans="1:5" x14ac:dyDescent="0.45">
      <c r="B10" t="s">
        <v>43</v>
      </c>
    </row>
    <row r="11" spans="1:5" x14ac:dyDescent="0.45">
      <c r="B11" t="s">
        <v>177</v>
      </c>
    </row>
    <row r="12" spans="1:5" x14ac:dyDescent="0.45">
      <c r="C12" t="s">
        <v>178</v>
      </c>
      <c r="D12" s="1">
        <f>BG!L4-BG!M4+BG!F7+BG!F10-BG!E7-BG!E10</f>
        <v>-100000</v>
      </c>
      <c r="E12" s="1">
        <f>BG!M4-BG!N4+BG!G7+BG!G10-BG!F7-BG!F10</f>
        <v>-700000</v>
      </c>
    </row>
    <row r="14" spans="1:5" x14ac:dyDescent="0.45">
      <c r="B14" t="s">
        <v>45</v>
      </c>
      <c r="D14" s="28">
        <f>+D8+SUM(D12:D13)</f>
        <v>1430000</v>
      </c>
      <c r="E14" s="28">
        <f>+E8+SUM(E12:E13)</f>
        <v>780000</v>
      </c>
    </row>
    <row r="16" spans="1:5" ht="16.899999999999999" x14ac:dyDescent="0.65">
      <c r="A16" s="22" t="s">
        <v>46</v>
      </c>
    </row>
    <row r="17" spans="1:5" ht="16.899999999999999" x14ac:dyDescent="0.65">
      <c r="A17" s="22"/>
      <c r="B17" t="s">
        <v>177</v>
      </c>
    </row>
    <row r="18" spans="1:5" ht="16.899999999999999" x14ac:dyDescent="0.65">
      <c r="A18" s="22"/>
      <c r="C18" t="s">
        <v>179</v>
      </c>
      <c r="D18" s="1">
        <f>BG!L8-BG!M8+BG!L14-BG!M14+BG!L18-BG!M17-BG!M18</f>
        <v>-500000</v>
      </c>
      <c r="E18" s="1">
        <f>BG!M8-BG!N8+BG!M14-BG!N14+BG!M18-BG!N17-BG!N18</f>
        <v>-500000</v>
      </c>
    </row>
    <row r="19" spans="1:5" ht="16.899999999999999" x14ac:dyDescent="0.65">
      <c r="A19" s="22"/>
    </row>
    <row r="20" spans="1:5" x14ac:dyDescent="0.45">
      <c r="B20" t="s">
        <v>172</v>
      </c>
      <c r="D20" s="28">
        <f>SUM(D18:D18)</f>
        <v>-500000</v>
      </c>
      <c r="E20" s="28">
        <f>SUM(E18:E18)</f>
        <v>-500000</v>
      </c>
    </row>
    <row r="22" spans="1:5" ht="16.899999999999999" x14ac:dyDescent="0.65">
      <c r="A22" s="22" t="s">
        <v>47</v>
      </c>
    </row>
    <row r="23" spans="1:5" ht="16.899999999999999" x14ac:dyDescent="0.65">
      <c r="A23" s="22"/>
      <c r="B23" t="s">
        <v>177</v>
      </c>
    </row>
    <row r="24" spans="1:5" ht="16.899999999999999" x14ac:dyDescent="0.65">
      <c r="A24" s="22"/>
      <c r="C24" t="s">
        <v>180</v>
      </c>
      <c r="D24" s="1">
        <f>BG!F15-BG!E15+BG!F17-BG!E17</f>
        <v>0</v>
      </c>
      <c r="E24" s="1">
        <f>BG!G15-BG!F15+BG!G17-BG!F17</f>
        <v>0</v>
      </c>
    </row>
    <row r="25" spans="1:5" ht="16.899999999999999" x14ac:dyDescent="0.65">
      <c r="A25" s="22"/>
    </row>
    <row r="26" spans="1:5" x14ac:dyDescent="0.45">
      <c r="B26" t="s">
        <v>48</v>
      </c>
      <c r="D26" s="28">
        <f>D24</f>
        <v>0</v>
      </c>
      <c r="E26" s="28">
        <f>E24</f>
        <v>0</v>
      </c>
    </row>
    <row r="28" spans="1:5" ht="16.899999999999999" x14ac:dyDescent="0.65">
      <c r="A28" s="22" t="s">
        <v>49</v>
      </c>
      <c r="B28" s="22"/>
      <c r="C28" s="22"/>
      <c r="D28" s="29">
        <f>+D14+D20+D26</f>
        <v>930000</v>
      </c>
      <c r="E28" s="29">
        <f>+E14+E20+E26</f>
        <v>280000</v>
      </c>
    </row>
    <row r="29" spans="1:5" ht="16.899999999999999" x14ac:dyDescent="0.65">
      <c r="A29" s="22"/>
      <c r="B29" t="s">
        <v>44</v>
      </c>
      <c r="C29" s="22"/>
      <c r="D29" s="29"/>
      <c r="E29" s="29"/>
    </row>
    <row r="30" spans="1:5" ht="16.899999999999999" x14ac:dyDescent="0.65">
      <c r="A30" s="22" t="s">
        <v>50</v>
      </c>
      <c r="B30" s="22"/>
      <c r="C30" s="22"/>
      <c r="D30" s="1">
        <f>BG!F6</f>
        <v>350000</v>
      </c>
      <c r="E30" s="1">
        <f>BG!G6</f>
        <v>70000</v>
      </c>
    </row>
    <row r="31" spans="1:5" ht="17.25" thickBot="1" x14ac:dyDescent="0.7">
      <c r="A31" s="22" t="s">
        <v>51</v>
      </c>
      <c r="B31" s="22"/>
      <c r="C31" s="22"/>
      <c r="D31" s="30">
        <f>+D28+D30</f>
        <v>1280000</v>
      </c>
      <c r="E31" s="30">
        <f>+E28+E30</f>
        <v>350000</v>
      </c>
    </row>
    <row r="32" spans="1:5" ht="14.65" thickTop="1" x14ac:dyDescent="0.4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2"/>
  <sheetViews>
    <sheetView zoomScale="108" zoomScaleNormal="80" workbookViewId="0">
      <selection activeCell="I1" sqref="I1"/>
    </sheetView>
  </sheetViews>
  <sheetFormatPr baseColWidth="10" defaultColWidth="11.53125" defaultRowHeight="14.25" x14ac:dyDescent="0.45"/>
  <cols>
    <col min="1" max="2" width="11.53125" style="91"/>
    <col min="3" max="3" width="15.59765625" style="91" customWidth="1"/>
    <col min="4" max="4" width="4" style="91" customWidth="1"/>
    <col min="5" max="5" width="12.86328125" style="91" customWidth="1"/>
    <col min="6" max="6" width="11.53125" style="91"/>
    <col min="7" max="7" width="15.59765625" style="91" customWidth="1"/>
    <col min="8" max="8" width="4" style="91" customWidth="1"/>
    <col min="9" max="9" width="12.33203125" style="91" customWidth="1"/>
    <col min="10" max="16384" width="11.53125" style="91"/>
  </cols>
  <sheetData>
    <row r="1" spans="1:10" x14ac:dyDescent="0.45">
      <c r="E1" s="91">
        <f>BG!E3</f>
        <v>2014</v>
      </c>
      <c r="I1" s="91">
        <f>BG!F3</f>
        <v>2013</v>
      </c>
    </row>
    <row r="2" spans="1:10" x14ac:dyDescent="0.45">
      <c r="A2" s="91" t="s">
        <v>52</v>
      </c>
      <c r="D2" s="92"/>
      <c r="H2" s="92"/>
    </row>
    <row r="3" spans="1:10" x14ac:dyDescent="0.45">
      <c r="B3" s="93" t="s">
        <v>53</v>
      </c>
      <c r="C3" s="94">
        <f>+BG!L11</f>
        <v>3500000</v>
      </c>
      <c r="D3" s="95" t="s">
        <v>55</v>
      </c>
      <c r="E3" s="96">
        <f>+C3/C4</f>
        <v>0.51622418879056042</v>
      </c>
      <c r="G3" s="94">
        <f>+BG!M11</f>
        <v>4000000</v>
      </c>
      <c r="H3" s="97" t="s">
        <v>55</v>
      </c>
      <c r="I3" s="98">
        <f>+G3/G4</f>
        <v>0.66666666666666663</v>
      </c>
    </row>
    <row r="4" spans="1:10" x14ac:dyDescent="0.45">
      <c r="B4" s="91" t="s">
        <v>54</v>
      </c>
      <c r="C4" s="92">
        <f>+BG!L19</f>
        <v>6780000</v>
      </c>
      <c r="D4" s="99"/>
      <c r="E4" s="100"/>
      <c r="G4" s="92">
        <f>+BG!M19</f>
        <v>6000000</v>
      </c>
      <c r="H4" s="101"/>
      <c r="I4" s="102"/>
    </row>
    <row r="5" spans="1:10" x14ac:dyDescent="0.45">
      <c r="E5" s="103"/>
      <c r="I5" s="103"/>
    </row>
    <row r="6" spans="1:10" x14ac:dyDescent="0.45">
      <c r="A6" s="91" t="s">
        <v>60</v>
      </c>
      <c r="E6" s="103"/>
      <c r="I6" s="103"/>
    </row>
    <row r="7" spans="1:10" x14ac:dyDescent="0.45">
      <c r="B7" s="93" t="s">
        <v>53</v>
      </c>
      <c r="C7" s="94">
        <f>+BG!L11</f>
        <v>3500000</v>
      </c>
      <c r="D7" s="95" t="s">
        <v>55</v>
      </c>
      <c r="E7" s="96">
        <f>+C7/C8</f>
        <v>0.34046692607003892</v>
      </c>
      <c r="G7" s="94">
        <f>+BG!M11</f>
        <v>4000000</v>
      </c>
      <c r="H7" s="97" t="s">
        <v>55</v>
      </c>
      <c r="I7" s="98">
        <f>+G7/G8</f>
        <v>0.4</v>
      </c>
    </row>
    <row r="8" spans="1:10" x14ac:dyDescent="0.45">
      <c r="B8" s="91" t="s">
        <v>59</v>
      </c>
      <c r="C8" s="92">
        <f>+BG!E21</f>
        <v>10280000</v>
      </c>
      <c r="D8" s="99"/>
      <c r="E8" s="100"/>
      <c r="G8" s="92">
        <f>+BG!F21</f>
        <v>10000000</v>
      </c>
      <c r="H8" s="101"/>
      <c r="I8" s="102"/>
    </row>
    <row r="9" spans="1:10" x14ac:dyDescent="0.45">
      <c r="E9" s="103"/>
      <c r="I9" s="103"/>
      <c r="J9" s="104"/>
    </row>
    <row r="10" spans="1:10" x14ac:dyDescent="0.45">
      <c r="A10" s="91" t="s">
        <v>56</v>
      </c>
      <c r="E10" s="103"/>
      <c r="I10" s="103"/>
      <c r="J10" s="104"/>
    </row>
    <row r="11" spans="1:10" x14ac:dyDescent="0.45">
      <c r="B11" s="93" t="s">
        <v>57</v>
      </c>
      <c r="C11" s="94">
        <f>+ER!C11</f>
        <v>2250000</v>
      </c>
      <c r="D11" s="95" t="s">
        <v>55</v>
      </c>
      <c r="E11" s="96">
        <f>+C11/C12</f>
        <v>3.75</v>
      </c>
      <c r="G11" s="94">
        <f>+ER!D11</f>
        <v>2250000</v>
      </c>
      <c r="H11" s="97" t="s">
        <v>55</v>
      </c>
      <c r="I11" s="98">
        <f>+G11/G12</f>
        <v>3.125</v>
      </c>
      <c r="J11" s="104"/>
    </row>
    <row r="12" spans="1:10" x14ac:dyDescent="0.45">
      <c r="B12" s="91" t="s">
        <v>58</v>
      </c>
      <c r="C12" s="92">
        <f>+ER!C12</f>
        <v>600000</v>
      </c>
      <c r="D12" s="99"/>
      <c r="E12" s="100"/>
      <c r="G12" s="92">
        <f>+ER!D12</f>
        <v>720000</v>
      </c>
      <c r="H12" s="101"/>
      <c r="I12" s="102"/>
      <c r="J12" s="104"/>
    </row>
    <row r="13" spans="1:10" x14ac:dyDescent="0.45">
      <c r="E13" s="103"/>
      <c r="I13" s="103"/>
      <c r="J13" s="104"/>
    </row>
    <row r="14" spans="1:10" x14ac:dyDescent="0.45">
      <c r="A14" s="91" t="s">
        <v>61</v>
      </c>
      <c r="E14" s="103"/>
      <c r="I14" s="103"/>
      <c r="J14" s="104"/>
    </row>
    <row r="15" spans="1:10" x14ac:dyDescent="0.45">
      <c r="B15" s="105" t="s">
        <v>62</v>
      </c>
      <c r="C15" s="94">
        <f>+ER!C11</f>
        <v>2250000</v>
      </c>
      <c r="D15" s="95" t="s">
        <v>55</v>
      </c>
      <c r="E15" s="96">
        <f>+C15/C16</f>
        <v>2.0454545454545454</v>
      </c>
      <c r="G15" s="94">
        <f>+ER!D11</f>
        <v>2250000</v>
      </c>
      <c r="H15" s="97" t="s">
        <v>55</v>
      </c>
      <c r="I15" s="98">
        <f>+G15/G16</f>
        <v>1.8442622950819672</v>
      </c>
      <c r="J15" s="104"/>
    </row>
    <row r="16" spans="1:10" x14ac:dyDescent="0.45">
      <c r="B16" s="106" t="s">
        <v>63</v>
      </c>
      <c r="C16" s="92">
        <f>+ER!C12+E20</f>
        <v>1100000</v>
      </c>
      <c r="D16" s="99"/>
      <c r="E16" s="100"/>
      <c r="G16" s="92">
        <f>+ER!D12+I20</f>
        <v>1220000</v>
      </c>
      <c r="H16" s="101"/>
      <c r="I16" s="102"/>
      <c r="J16" s="104"/>
    </row>
    <row r="17" spans="1:10" x14ac:dyDescent="0.45">
      <c r="J17" s="104"/>
    </row>
    <row r="18" spans="1:10" x14ac:dyDescent="0.45">
      <c r="B18" s="91" t="s">
        <v>64</v>
      </c>
      <c r="J18" s="104"/>
    </row>
    <row r="19" spans="1:10" x14ac:dyDescent="0.45">
      <c r="B19" s="91" t="s">
        <v>65</v>
      </c>
      <c r="C19" s="92">
        <f>+ER!C12</f>
        <v>600000</v>
      </c>
      <c r="G19" s="92">
        <f>+ER!D12</f>
        <v>720000</v>
      </c>
    </row>
    <row r="20" spans="1:10" x14ac:dyDescent="0.45">
      <c r="B20" s="91" t="s">
        <v>66</v>
      </c>
      <c r="E20" s="92">
        <f>BG!L7</f>
        <v>500000</v>
      </c>
      <c r="I20" s="92">
        <f>BG!M7</f>
        <v>500000</v>
      </c>
    </row>
    <row r="22" spans="1:10" x14ac:dyDescent="0.45">
      <c r="A22" s="91" t="s">
        <v>67</v>
      </c>
    </row>
    <row r="23" spans="1:10" x14ac:dyDescent="0.45">
      <c r="B23" s="105" t="s">
        <v>68</v>
      </c>
      <c r="C23" s="94">
        <f>+FF!D14</f>
        <v>1430000</v>
      </c>
      <c r="D23" s="95" t="s">
        <v>55</v>
      </c>
      <c r="E23" s="96">
        <f>+C23/C24</f>
        <v>2.3833333333333333</v>
      </c>
      <c r="G23" s="94">
        <f>+FF!E14</f>
        <v>780000</v>
      </c>
      <c r="H23" s="97" t="s">
        <v>55</v>
      </c>
      <c r="I23" s="98">
        <f>+G23/G24</f>
        <v>1.0833333333333333</v>
      </c>
    </row>
    <row r="24" spans="1:10" x14ac:dyDescent="0.45">
      <c r="B24" s="106" t="s">
        <v>58</v>
      </c>
      <c r="C24" s="92">
        <f>+C12</f>
        <v>600000</v>
      </c>
      <c r="D24" s="99"/>
      <c r="E24" s="100"/>
      <c r="G24" s="92">
        <f>+G12</f>
        <v>720000</v>
      </c>
      <c r="H24" s="101"/>
      <c r="I24" s="102"/>
    </row>
    <row r="26" spans="1:10" x14ac:dyDescent="0.45">
      <c r="A26" s="91" t="s">
        <v>69</v>
      </c>
    </row>
    <row r="27" spans="1:10" x14ac:dyDescent="0.45">
      <c r="B27" s="105" t="s">
        <v>70</v>
      </c>
      <c r="C27" s="94">
        <f>+FF!D14</f>
        <v>1430000</v>
      </c>
      <c r="D27" s="95" t="s">
        <v>55</v>
      </c>
      <c r="E27" s="96">
        <f>+C27/C28</f>
        <v>0.40857142857142859</v>
      </c>
      <c r="G27" s="94">
        <f>+FF!E14</f>
        <v>780000</v>
      </c>
      <c r="H27" s="97" t="s">
        <v>55</v>
      </c>
      <c r="I27" s="98">
        <f>+G27/G28</f>
        <v>0.19500000000000001</v>
      </c>
    </row>
    <row r="28" spans="1:10" x14ac:dyDescent="0.45">
      <c r="B28" s="106" t="s">
        <v>71</v>
      </c>
      <c r="C28" s="92">
        <f>+C7</f>
        <v>3500000</v>
      </c>
      <c r="D28" s="99"/>
      <c r="E28" s="100"/>
      <c r="G28" s="92">
        <f>+G7</f>
        <v>4000000</v>
      </c>
      <c r="H28" s="101"/>
      <c r="I28" s="102"/>
    </row>
    <row r="30" spans="1:10" x14ac:dyDescent="0.45">
      <c r="A30" s="91" t="s">
        <v>72</v>
      </c>
    </row>
    <row r="31" spans="1:10" x14ac:dyDescent="0.45">
      <c r="B31" s="105" t="s">
        <v>73</v>
      </c>
      <c r="C31" s="94">
        <f>+BG!E4</f>
        <v>3580000</v>
      </c>
      <c r="D31" s="95" t="s">
        <v>55</v>
      </c>
      <c r="E31" s="96">
        <f>+C31/C32</f>
        <v>2.3866666666666667</v>
      </c>
      <c r="G31" s="94">
        <f>+BG!F4</f>
        <v>2550000</v>
      </c>
      <c r="H31" s="97" t="s">
        <v>55</v>
      </c>
      <c r="I31" s="98">
        <f>+G31/G32</f>
        <v>1.7</v>
      </c>
    </row>
    <row r="32" spans="1:10" x14ac:dyDescent="0.45">
      <c r="B32" s="106" t="s">
        <v>74</v>
      </c>
      <c r="C32" s="92">
        <f>+BG!L4</f>
        <v>1500000</v>
      </c>
      <c r="D32" s="99"/>
      <c r="E32" s="100"/>
      <c r="G32" s="92">
        <f>+BG!M4</f>
        <v>1500000</v>
      </c>
      <c r="H32" s="101"/>
      <c r="I32" s="102"/>
    </row>
    <row r="34" spans="1:9" x14ac:dyDescent="0.45">
      <c r="A34" s="91" t="s">
        <v>75</v>
      </c>
    </row>
    <row r="35" spans="1:9" x14ac:dyDescent="0.45">
      <c r="B35" s="105" t="s">
        <v>76</v>
      </c>
      <c r="C35" s="94">
        <f>+BG!E4-BG!E9</f>
        <v>2580000</v>
      </c>
      <c r="D35" s="95" t="s">
        <v>55</v>
      </c>
      <c r="E35" s="96">
        <f>+C35/C36</f>
        <v>1.72</v>
      </c>
      <c r="G35" s="94">
        <f>+BG!F4-BG!F9</f>
        <v>1550000</v>
      </c>
      <c r="H35" s="97" t="s">
        <v>55</v>
      </c>
      <c r="I35" s="98">
        <f>+G35/G36</f>
        <v>1.0333333333333334</v>
      </c>
    </row>
    <row r="36" spans="1:9" x14ac:dyDescent="0.45">
      <c r="B36" s="106" t="s">
        <v>74</v>
      </c>
      <c r="C36" s="92">
        <f>+C32</f>
        <v>1500000</v>
      </c>
      <c r="D36" s="99"/>
      <c r="E36" s="100"/>
      <c r="G36" s="92">
        <f>+G32</f>
        <v>1500000</v>
      </c>
      <c r="H36" s="101"/>
      <c r="I36" s="102"/>
    </row>
    <row r="38" spans="1:9" x14ac:dyDescent="0.45">
      <c r="A38" s="91" t="s">
        <v>77</v>
      </c>
    </row>
    <row r="39" spans="1:9" x14ac:dyDescent="0.45">
      <c r="B39" s="105" t="s">
        <v>78</v>
      </c>
      <c r="C39" s="94">
        <f>+BG!E5</f>
        <v>1280000</v>
      </c>
      <c r="D39" s="95" t="s">
        <v>55</v>
      </c>
      <c r="E39" s="96">
        <f>+C39/C40</f>
        <v>0.85333333333333339</v>
      </c>
      <c r="G39" s="94">
        <f>+BG!F5</f>
        <v>350000</v>
      </c>
      <c r="H39" s="97" t="s">
        <v>55</v>
      </c>
      <c r="I39" s="98">
        <f>+G39/G40</f>
        <v>0.23333333333333334</v>
      </c>
    </row>
    <row r="40" spans="1:9" x14ac:dyDescent="0.45">
      <c r="B40" s="106" t="s">
        <v>74</v>
      </c>
      <c r="C40" s="92">
        <f>+C36</f>
        <v>1500000</v>
      </c>
      <c r="D40" s="99"/>
      <c r="E40" s="100"/>
      <c r="G40" s="92">
        <f>+G36</f>
        <v>1500000</v>
      </c>
      <c r="H40" s="101"/>
      <c r="I40" s="102"/>
    </row>
    <row r="42" spans="1:9" x14ac:dyDescent="0.45">
      <c r="A42" s="91" t="s">
        <v>79</v>
      </c>
    </row>
    <row r="43" spans="1:9" x14ac:dyDescent="0.45">
      <c r="B43" s="105" t="s">
        <v>80</v>
      </c>
      <c r="C43" s="94">
        <f>+BG!E4-BG!L4</f>
        <v>2080000</v>
      </c>
      <c r="D43" s="95" t="s">
        <v>55</v>
      </c>
      <c r="E43" s="96">
        <f>+C43/C44</f>
        <v>1.3866666666666667</v>
      </c>
      <c r="G43" s="94">
        <f>+BG!F4-BG!M4</f>
        <v>1050000</v>
      </c>
      <c r="H43" s="97" t="s">
        <v>55</v>
      </c>
      <c r="I43" s="98">
        <f>+G43/G44</f>
        <v>0.7</v>
      </c>
    </row>
    <row r="44" spans="1:9" x14ac:dyDescent="0.45">
      <c r="B44" s="106" t="s">
        <v>74</v>
      </c>
      <c r="C44" s="92">
        <f>+C40</f>
        <v>1500000</v>
      </c>
      <c r="D44" s="99"/>
      <c r="E44" s="100"/>
      <c r="G44" s="92">
        <f>+G40</f>
        <v>1500000</v>
      </c>
      <c r="H44" s="101"/>
      <c r="I44" s="102"/>
    </row>
    <row r="46" spans="1:9" x14ac:dyDescent="0.45">
      <c r="A46" s="91" t="s">
        <v>81</v>
      </c>
    </row>
    <row r="47" spans="1:9" x14ac:dyDescent="0.45">
      <c r="A47" s="105" t="s">
        <v>82</v>
      </c>
      <c r="B47" s="99" t="s">
        <v>126</v>
      </c>
      <c r="C47" s="94">
        <f>+BG!E5+BG!E8</f>
        <v>2280000</v>
      </c>
      <c r="D47" s="95" t="s">
        <v>55</v>
      </c>
      <c r="E47" s="96">
        <f>+C47/C48*365</f>
        <v>92.466666666666669</v>
      </c>
      <c r="G47" s="94">
        <f>+BG!F5+BG!F8</f>
        <v>1350000</v>
      </c>
      <c r="H47" s="97" t="s">
        <v>55</v>
      </c>
      <c r="I47" s="98">
        <f>+G47/G48*365</f>
        <v>54.75</v>
      </c>
    </row>
    <row r="48" spans="1:9" x14ac:dyDescent="0.45">
      <c r="A48" s="106" t="s">
        <v>83</v>
      </c>
      <c r="B48" s="99"/>
      <c r="C48" s="92">
        <f>+ER!C6+ER!C8</f>
        <v>9000000</v>
      </c>
      <c r="D48" s="99"/>
      <c r="E48" s="100"/>
      <c r="G48" s="92">
        <f>+ER!D6+ER!D8</f>
        <v>9000000</v>
      </c>
      <c r="H48" s="101"/>
      <c r="I48" s="102"/>
    </row>
    <row r="50" spans="1:9" x14ac:dyDescent="0.45">
      <c r="A50" s="91" t="s">
        <v>84</v>
      </c>
    </row>
    <row r="51" spans="1:9" x14ac:dyDescent="0.45">
      <c r="B51" s="105" t="s">
        <v>85</v>
      </c>
      <c r="C51" s="94">
        <f>+ER!C6</f>
        <v>5500000</v>
      </c>
      <c r="D51" s="95" t="s">
        <v>55</v>
      </c>
      <c r="E51" s="96">
        <f>+C51/C52</f>
        <v>5.5</v>
      </c>
      <c r="G51" s="94">
        <f>+ER!D6</f>
        <v>5500000</v>
      </c>
      <c r="H51" s="97" t="s">
        <v>55</v>
      </c>
      <c r="I51" s="98">
        <f>+G51/G52</f>
        <v>5.5</v>
      </c>
    </row>
    <row r="52" spans="1:9" x14ac:dyDescent="0.45">
      <c r="B52" s="106" t="s">
        <v>86</v>
      </c>
      <c r="C52" s="92">
        <f>+(BG!E9+BG!F9)/2</f>
        <v>1000000</v>
      </c>
      <c r="D52" s="99"/>
      <c r="E52" s="100"/>
      <c r="G52" s="92">
        <f>+(BG!F9+BG!G9)/2</f>
        <v>1000000</v>
      </c>
      <c r="H52" s="101"/>
      <c r="I52" s="102"/>
    </row>
    <row r="54" spans="1:9" x14ac:dyDescent="0.45">
      <c r="A54" s="91" t="s">
        <v>87</v>
      </c>
    </row>
    <row r="55" spans="1:9" x14ac:dyDescent="0.45">
      <c r="B55" s="105">
        <v>360</v>
      </c>
      <c r="C55" s="94">
        <v>360</v>
      </c>
      <c r="D55" s="95" t="s">
        <v>55</v>
      </c>
      <c r="E55" s="96">
        <f>+C55/C56</f>
        <v>65.454545454545453</v>
      </c>
      <c r="G55" s="94">
        <v>360</v>
      </c>
      <c r="H55" s="97" t="s">
        <v>55</v>
      </c>
      <c r="I55" s="98">
        <f>+G55/G56</f>
        <v>65.454545454545453</v>
      </c>
    </row>
    <row r="56" spans="1:9" x14ac:dyDescent="0.45">
      <c r="B56" s="106" t="s">
        <v>88</v>
      </c>
      <c r="C56" s="92">
        <f>+E51</f>
        <v>5.5</v>
      </c>
      <c r="D56" s="99"/>
      <c r="E56" s="100"/>
      <c r="G56" s="92">
        <f>+I51</f>
        <v>5.5</v>
      </c>
      <c r="H56" s="101"/>
      <c r="I56" s="102"/>
    </row>
    <row r="58" spans="1:9" x14ac:dyDescent="0.45">
      <c r="A58" s="91" t="s">
        <v>89</v>
      </c>
    </row>
    <row r="59" spans="1:9" x14ac:dyDescent="0.45">
      <c r="B59" s="105" t="s">
        <v>90</v>
      </c>
      <c r="C59" s="94">
        <f>+ER!C5</f>
        <v>12000000</v>
      </c>
      <c r="D59" s="95" t="s">
        <v>55</v>
      </c>
      <c r="E59" s="96">
        <f>+C59/C60</f>
        <v>12</v>
      </c>
      <c r="G59" s="94">
        <f>+ER!D5</f>
        <v>12000000</v>
      </c>
      <c r="H59" s="97" t="s">
        <v>55</v>
      </c>
      <c r="I59" s="98">
        <f>+G59/G60</f>
        <v>12</v>
      </c>
    </row>
    <row r="60" spans="1:9" x14ac:dyDescent="0.45">
      <c r="B60" s="106" t="s">
        <v>91</v>
      </c>
      <c r="C60" s="92">
        <f>+(BG!E8+BG!F8)/2</f>
        <v>1000000</v>
      </c>
      <c r="D60" s="99"/>
      <c r="E60" s="100"/>
      <c r="G60" s="92">
        <f>+(BG!F8+BG!G8)/2</f>
        <v>1000000</v>
      </c>
      <c r="H60" s="101"/>
      <c r="I60" s="102"/>
    </row>
    <row r="62" spans="1:9" x14ac:dyDescent="0.45">
      <c r="A62" s="91" t="s">
        <v>92</v>
      </c>
    </row>
    <row r="63" spans="1:9" x14ac:dyDescent="0.45">
      <c r="B63" s="105">
        <v>360</v>
      </c>
      <c r="C63" s="94">
        <v>360</v>
      </c>
      <c r="D63" s="95" t="s">
        <v>55</v>
      </c>
      <c r="E63" s="96">
        <f>+C63/C64</f>
        <v>30</v>
      </c>
      <c r="G63" s="94">
        <v>360</v>
      </c>
      <c r="H63" s="97" t="s">
        <v>55</v>
      </c>
      <c r="I63" s="98">
        <f>+G63/G64</f>
        <v>30</v>
      </c>
    </row>
    <row r="64" spans="1:9" x14ac:dyDescent="0.45">
      <c r="B64" s="106" t="s">
        <v>93</v>
      </c>
      <c r="C64" s="92">
        <f>+E59</f>
        <v>12</v>
      </c>
      <c r="D64" s="99"/>
      <c r="E64" s="100"/>
      <c r="G64" s="92">
        <f>+I59</f>
        <v>12</v>
      </c>
      <c r="H64" s="101"/>
      <c r="I64" s="102"/>
    </row>
    <row r="66" spans="1:9" x14ac:dyDescent="0.45">
      <c r="A66" s="91" t="s">
        <v>94</v>
      </c>
    </row>
    <row r="67" spans="1:9" x14ac:dyDescent="0.45">
      <c r="B67" s="105" t="s">
        <v>85</v>
      </c>
      <c r="C67" s="94">
        <f>+C51</f>
        <v>5500000</v>
      </c>
      <c r="D67" s="95" t="s">
        <v>55</v>
      </c>
      <c r="E67" s="96">
        <f>+C67/C68</f>
        <v>5.5</v>
      </c>
      <c r="G67" s="94">
        <f>+G51</f>
        <v>5500000</v>
      </c>
      <c r="H67" s="97" t="s">
        <v>55</v>
      </c>
      <c r="I67" s="98">
        <f>+G67/G68</f>
        <v>5.5</v>
      </c>
    </row>
    <row r="68" spans="1:9" x14ac:dyDescent="0.45">
      <c r="B68" s="106" t="s">
        <v>95</v>
      </c>
      <c r="C68" s="92">
        <f>+(BG!L5+BG!M5)/2</f>
        <v>1000000</v>
      </c>
      <c r="D68" s="99"/>
      <c r="E68" s="100"/>
      <c r="G68" s="92">
        <f>+(BG!M5+BG!N5)/2</f>
        <v>1000000</v>
      </c>
      <c r="H68" s="101"/>
      <c r="I68" s="102"/>
    </row>
    <row r="70" spans="1:9" x14ac:dyDescent="0.45">
      <c r="A70" s="91" t="s">
        <v>96</v>
      </c>
    </row>
    <row r="71" spans="1:9" x14ac:dyDescent="0.45">
      <c r="B71" s="105">
        <v>360</v>
      </c>
      <c r="C71" s="94">
        <v>360</v>
      </c>
      <c r="D71" s="95" t="s">
        <v>55</v>
      </c>
      <c r="E71" s="96">
        <f>+C71/C72</f>
        <v>65.454545454545453</v>
      </c>
      <c r="G71" s="94">
        <v>360</v>
      </c>
      <c r="H71" s="97" t="s">
        <v>55</v>
      </c>
      <c r="I71" s="98">
        <f>+G71/G72</f>
        <v>65.454545454545453</v>
      </c>
    </row>
    <row r="72" spans="1:9" x14ac:dyDescent="0.45">
      <c r="B72" s="106" t="s">
        <v>97</v>
      </c>
      <c r="C72" s="92">
        <f>+E67</f>
        <v>5.5</v>
      </c>
      <c r="D72" s="99"/>
      <c r="E72" s="100"/>
      <c r="G72" s="92">
        <f>+I67</f>
        <v>5.5</v>
      </c>
      <c r="H72" s="101"/>
      <c r="I72" s="102"/>
    </row>
    <row r="74" spans="1:9" x14ac:dyDescent="0.45">
      <c r="A74" s="91" t="s">
        <v>98</v>
      </c>
    </row>
    <row r="75" spans="1:9" x14ac:dyDescent="0.45">
      <c r="B75" s="105" t="s">
        <v>90</v>
      </c>
      <c r="C75" s="94">
        <f>+C59</f>
        <v>12000000</v>
      </c>
      <c r="D75" s="95" t="s">
        <v>55</v>
      </c>
      <c r="E75" s="96">
        <f>+C75/C76</f>
        <v>5.7692307692307692</v>
      </c>
      <c r="G75" s="94">
        <f>+G59</f>
        <v>12000000</v>
      </c>
      <c r="H75" s="97" t="s">
        <v>55</v>
      </c>
      <c r="I75" s="98">
        <f>+G75/G76</f>
        <v>11.428571428571429</v>
      </c>
    </row>
    <row r="76" spans="1:9" x14ac:dyDescent="0.45">
      <c r="B76" s="106" t="s">
        <v>80</v>
      </c>
      <c r="C76" s="92">
        <f>+BG!E4-BG!L4</f>
        <v>2080000</v>
      </c>
      <c r="D76" s="99"/>
      <c r="E76" s="100"/>
      <c r="G76" s="92">
        <f>+BG!F4-BG!M4</f>
        <v>1050000</v>
      </c>
      <c r="H76" s="101"/>
      <c r="I76" s="102"/>
    </row>
    <row r="78" spans="1:9" x14ac:dyDescent="0.45">
      <c r="A78" s="91" t="s">
        <v>99</v>
      </c>
    </row>
    <row r="79" spans="1:9" x14ac:dyDescent="0.45">
      <c r="B79" s="105" t="s">
        <v>90</v>
      </c>
      <c r="C79" s="94">
        <f>+C75</f>
        <v>12000000</v>
      </c>
      <c r="D79" s="95" t="s">
        <v>55</v>
      </c>
      <c r="E79" s="96">
        <f>+C79/C80</f>
        <v>1.791044776119403</v>
      </c>
      <c r="G79" s="94">
        <f>+G75</f>
        <v>12000000</v>
      </c>
      <c r="H79" s="97" t="s">
        <v>55</v>
      </c>
      <c r="I79" s="98">
        <f>+G79/G80</f>
        <v>1.6107382550335569</v>
      </c>
    </row>
    <row r="80" spans="1:9" x14ac:dyDescent="0.45">
      <c r="B80" s="106" t="s">
        <v>100</v>
      </c>
      <c r="C80" s="92">
        <f>+BG!E15+BG!E16</f>
        <v>6700000</v>
      </c>
      <c r="D80" s="99"/>
      <c r="E80" s="100"/>
      <c r="G80" s="92">
        <f>+BG!F15+BG!F16</f>
        <v>7450000</v>
      </c>
      <c r="H80" s="101"/>
      <c r="I80" s="102"/>
    </row>
    <row r="82" spans="1:9" x14ac:dyDescent="0.45">
      <c r="A82" s="91" t="s">
        <v>101</v>
      </c>
    </row>
    <row r="83" spans="1:9" x14ac:dyDescent="0.45">
      <c r="B83" s="105" t="s">
        <v>90</v>
      </c>
      <c r="C83" s="94">
        <f>+C79</f>
        <v>12000000</v>
      </c>
      <c r="D83" s="95" t="s">
        <v>55</v>
      </c>
      <c r="E83" s="96">
        <f>+C83/C84</f>
        <v>1.1673151750972763</v>
      </c>
      <c r="G83" s="94">
        <f>+G79</f>
        <v>12000000</v>
      </c>
      <c r="H83" s="97" t="s">
        <v>55</v>
      </c>
      <c r="I83" s="98">
        <f>+G83/G84</f>
        <v>1.2</v>
      </c>
    </row>
    <row r="84" spans="1:9" x14ac:dyDescent="0.45">
      <c r="B84" s="106" t="s">
        <v>59</v>
      </c>
      <c r="C84" s="92">
        <f>+BG!E21</f>
        <v>10280000</v>
      </c>
      <c r="D84" s="99"/>
      <c r="E84" s="100"/>
      <c r="G84" s="92">
        <f>+BG!F21</f>
        <v>10000000</v>
      </c>
      <c r="H84" s="101"/>
      <c r="I84" s="102"/>
    </row>
    <row r="86" spans="1:9" x14ac:dyDescent="0.45">
      <c r="A86" s="91" t="s">
        <v>102</v>
      </c>
    </row>
    <row r="87" spans="1:9" x14ac:dyDescent="0.45">
      <c r="B87" s="105" t="s">
        <v>103</v>
      </c>
      <c r="C87" s="94">
        <f>+ER!C7</f>
        <v>6500000</v>
      </c>
      <c r="D87" s="95" t="s">
        <v>55</v>
      </c>
      <c r="E87" s="96">
        <f>+C87/C88</f>
        <v>0.54166666666666663</v>
      </c>
      <c r="G87" s="94">
        <f>+ER!D7</f>
        <v>6500000</v>
      </c>
      <c r="H87" s="97" t="s">
        <v>55</v>
      </c>
      <c r="I87" s="98">
        <f>+G87/G88</f>
        <v>0.54166666666666663</v>
      </c>
    </row>
    <row r="88" spans="1:9" x14ac:dyDescent="0.45">
      <c r="B88" s="106" t="s">
        <v>90</v>
      </c>
      <c r="C88" s="92">
        <f>+C83</f>
        <v>12000000</v>
      </c>
      <c r="D88" s="99"/>
      <c r="E88" s="100"/>
      <c r="G88" s="92">
        <f>+G83</f>
        <v>12000000</v>
      </c>
      <c r="H88" s="101"/>
      <c r="I88" s="102"/>
    </row>
    <row r="90" spans="1:9" x14ac:dyDescent="0.45">
      <c r="A90" s="91" t="s">
        <v>104</v>
      </c>
    </row>
    <row r="91" spans="1:9" x14ac:dyDescent="0.45">
      <c r="B91" s="105" t="s">
        <v>107</v>
      </c>
      <c r="C91" s="94">
        <f>+ER!C11</f>
        <v>2250000</v>
      </c>
      <c r="D91" s="95" t="s">
        <v>55</v>
      </c>
      <c r="E91" s="96">
        <f>+C91/C92</f>
        <v>0.1875</v>
      </c>
      <c r="G91" s="94">
        <f>+ER!D11</f>
        <v>2250000</v>
      </c>
      <c r="H91" s="97" t="s">
        <v>55</v>
      </c>
      <c r="I91" s="98">
        <f>+G91/G92</f>
        <v>0.1875</v>
      </c>
    </row>
    <row r="92" spans="1:9" x14ac:dyDescent="0.45">
      <c r="B92" s="106" t="s">
        <v>90</v>
      </c>
      <c r="C92" s="92">
        <f>+C88</f>
        <v>12000000</v>
      </c>
      <c r="D92" s="99"/>
      <c r="E92" s="100"/>
      <c r="G92" s="92">
        <f>+G88</f>
        <v>12000000</v>
      </c>
      <c r="H92" s="101"/>
      <c r="I92" s="102"/>
    </row>
    <row r="94" spans="1:9" x14ac:dyDescent="0.45">
      <c r="A94" s="91" t="s">
        <v>105</v>
      </c>
    </row>
    <row r="95" spans="1:9" x14ac:dyDescent="0.45">
      <c r="B95" s="105" t="s">
        <v>57</v>
      </c>
      <c r="C95" s="94">
        <f>+ER!C11</f>
        <v>2250000</v>
      </c>
      <c r="D95" s="95" t="s">
        <v>55</v>
      </c>
      <c r="E95" s="96">
        <f>+C95/C96</f>
        <v>0.1875</v>
      </c>
      <c r="G95" s="94">
        <f>+ER!D11</f>
        <v>2250000</v>
      </c>
      <c r="H95" s="97" t="s">
        <v>55</v>
      </c>
      <c r="I95" s="98">
        <f>+G95/G96</f>
        <v>0.1875</v>
      </c>
    </row>
    <row r="96" spans="1:9" x14ac:dyDescent="0.45">
      <c r="B96" s="106" t="s">
        <v>90</v>
      </c>
      <c r="C96" s="92">
        <f>+C92</f>
        <v>12000000</v>
      </c>
      <c r="D96" s="99"/>
      <c r="E96" s="100"/>
      <c r="G96" s="92">
        <f>+G92</f>
        <v>12000000</v>
      </c>
      <c r="H96" s="101"/>
      <c r="I96" s="102"/>
    </row>
    <row r="98" spans="1:9" x14ac:dyDescent="0.45">
      <c r="A98" s="91" t="s">
        <v>106</v>
      </c>
    </row>
    <row r="99" spans="1:9" x14ac:dyDescent="0.45">
      <c r="B99" s="105" t="s">
        <v>108</v>
      </c>
      <c r="C99" s="94">
        <f>+ER!C9</f>
        <v>3000000</v>
      </c>
      <c r="D99" s="95" t="s">
        <v>55</v>
      </c>
      <c r="E99" s="96">
        <f>+C99/C100</f>
        <v>0.25</v>
      </c>
      <c r="G99" s="94">
        <f>+ER!D9</f>
        <v>3000000</v>
      </c>
      <c r="H99" s="97" t="s">
        <v>55</v>
      </c>
      <c r="I99" s="98">
        <f>+G99/G100</f>
        <v>0.25</v>
      </c>
    </row>
    <row r="100" spans="1:9" x14ac:dyDescent="0.45">
      <c r="B100" s="106" t="s">
        <v>90</v>
      </c>
      <c r="C100" s="92">
        <f>+C96</f>
        <v>12000000</v>
      </c>
      <c r="D100" s="99"/>
      <c r="E100" s="100"/>
      <c r="G100" s="92">
        <f>+G96</f>
        <v>12000000</v>
      </c>
      <c r="H100" s="101"/>
      <c r="I100" s="102"/>
    </row>
    <row r="102" spans="1:9" x14ac:dyDescent="0.45">
      <c r="A102" s="91" t="s">
        <v>109</v>
      </c>
    </row>
    <row r="103" spans="1:9" x14ac:dyDescent="0.45">
      <c r="B103" s="105" t="s">
        <v>110</v>
      </c>
      <c r="C103" s="94">
        <f>+ER!C15</f>
        <v>780000</v>
      </c>
      <c r="D103" s="95" t="s">
        <v>55</v>
      </c>
      <c r="E103" s="96">
        <f>+C103/C104</f>
        <v>6.5000000000000002E-2</v>
      </c>
      <c r="G103" s="94">
        <f>+ER!D15</f>
        <v>730000</v>
      </c>
      <c r="H103" s="97" t="s">
        <v>55</v>
      </c>
      <c r="I103" s="98">
        <f>+G103/G104</f>
        <v>6.0833333333333336E-2</v>
      </c>
    </row>
    <row r="104" spans="1:9" x14ac:dyDescent="0.45">
      <c r="B104" s="106" t="s">
        <v>90</v>
      </c>
      <c r="C104" s="92">
        <f>+C100</f>
        <v>12000000</v>
      </c>
      <c r="D104" s="99"/>
      <c r="E104" s="100"/>
      <c r="G104" s="92">
        <f>+G100</f>
        <v>12000000</v>
      </c>
      <c r="H104" s="101"/>
      <c r="I104" s="102"/>
    </row>
    <row r="106" spans="1:9" x14ac:dyDescent="0.45">
      <c r="A106" s="91" t="s">
        <v>111</v>
      </c>
    </row>
    <row r="107" spans="1:9" x14ac:dyDescent="0.45">
      <c r="B107" s="105" t="s">
        <v>112</v>
      </c>
      <c r="C107" s="94">
        <f>+C103</f>
        <v>780000</v>
      </c>
      <c r="D107" s="95" t="s">
        <v>55</v>
      </c>
      <c r="E107" s="96">
        <f>+C107/C108</f>
        <v>1560</v>
      </c>
      <c r="G107" s="94">
        <f>+G103</f>
        <v>730000</v>
      </c>
      <c r="H107" s="97" t="s">
        <v>55</v>
      </c>
      <c r="I107" s="98">
        <f>+G107/G108</f>
        <v>1460</v>
      </c>
    </row>
    <row r="108" spans="1:9" x14ac:dyDescent="0.45">
      <c r="B108" s="106" t="s">
        <v>100</v>
      </c>
      <c r="C108" s="92">
        <v>500</v>
      </c>
      <c r="D108" s="99"/>
      <c r="E108" s="100"/>
      <c r="G108" s="92">
        <v>500</v>
      </c>
      <c r="H108" s="101"/>
      <c r="I108" s="102"/>
    </row>
    <row r="110" spans="1:9" x14ac:dyDescent="0.45">
      <c r="A110" s="91" t="s">
        <v>115</v>
      </c>
    </row>
    <row r="111" spans="1:9" x14ac:dyDescent="0.45">
      <c r="B111" s="105" t="s">
        <v>116</v>
      </c>
      <c r="C111" s="94">
        <f>+ER!C5-ER!D5</f>
        <v>0</v>
      </c>
      <c r="D111" s="95" t="s">
        <v>55</v>
      </c>
      <c r="E111" s="96">
        <f>+C111/C112</f>
        <v>0</v>
      </c>
      <c r="G111" s="94"/>
      <c r="H111" s="97"/>
      <c r="I111" s="98"/>
    </row>
    <row r="112" spans="1:9" x14ac:dyDescent="0.45">
      <c r="B112" s="106" t="s">
        <v>117</v>
      </c>
      <c r="C112" s="92">
        <f>+ER!D5</f>
        <v>12000000</v>
      </c>
      <c r="D112" s="99"/>
      <c r="E112" s="100"/>
      <c r="G112" s="92"/>
      <c r="H112" s="101"/>
      <c r="I112" s="102"/>
    </row>
    <row r="114" spans="1:9" x14ac:dyDescent="0.45">
      <c r="A114" s="91" t="s">
        <v>118</v>
      </c>
    </row>
    <row r="115" spans="1:9" x14ac:dyDescent="0.45">
      <c r="B115" s="105" t="s">
        <v>119</v>
      </c>
      <c r="C115" s="94">
        <f>+ER!C8</f>
        <v>3500000</v>
      </c>
      <c r="D115" s="95" t="s">
        <v>55</v>
      </c>
      <c r="E115" s="96">
        <f>+C115/C116</f>
        <v>0.29166666666666669</v>
      </c>
      <c r="G115" s="94">
        <f>+ER!D8</f>
        <v>3500000</v>
      </c>
      <c r="H115" s="97" t="s">
        <v>55</v>
      </c>
      <c r="I115" s="98">
        <f>+G115/G116</f>
        <v>0.29166666666666669</v>
      </c>
    </row>
    <row r="116" spans="1:9" x14ac:dyDescent="0.45">
      <c r="B116" s="106" t="s">
        <v>90</v>
      </c>
      <c r="C116" s="92">
        <f>+C104</f>
        <v>12000000</v>
      </c>
      <c r="D116" s="99"/>
      <c r="E116" s="100"/>
      <c r="G116" s="92">
        <f>+G104</f>
        <v>12000000</v>
      </c>
      <c r="H116" s="101"/>
      <c r="I116" s="102"/>
    </row>
    <row r="118" spans="1:9" x14ac:dyDescent="0.45">
      <c r="A118" s="91" t="s">
        <v>120</v>
      </c>
    </row>
    <row r="119" spans="1:9" x14ac:dyDescent="0.45">
      <c r="B119" s="105" t="s">
        <v>121</v>
      </c>
      <c r="C119" s="94">
        <f>+C116-ER!C6</f>
        <v>6500000</v>
      </c>
      <c r="D119" s="95" t="s">
        <v>55</v>
      </c>
      <c r="E119" s="96">
        <f>+C119/C120</f>
        <v>0.54166666666666663</v>
      </c>
      <c r="G119" s="94">
        <f>+G116-ER!D6</f>
        <v>6500000</v>
      </c>
      <c r="H119" s="97" t="s">
        <v>55</v>
      </c>
      <c r="I119" s="98">
        <f>+G119/G120</f>
        <v>0.54166666666666663</v>
      </c>
    </row>
    <row r="120" spans="1:9" x14ac:dyDescent="0.45">
      <c r="B120" s="106" t="s">
        <v>90</v>
      </c>
      <c r="C120" s="92">
        <f>+C116</f>
        <v>12000000</v>
      </c>
      <c r="D120" s="99"/>
      <c r="E120" s="100"/>
      <c r="G120" s="92">
        <f>+G116</f>
        <v>12000000</v>
      </c>
      <c r="H120" s="101"/>
      <c r="I120" s="102"/>
    </row>
    <row r="122" spans="1:9" x14ac:dyDescent="0.45">
      <c r="A122" s="91" t="s">
        <v>122</v>
      </c>
    </row>
    <row r="123" spans="1:9" x14ac:dyDescent="0.45">
      <c r="B123" s="105" t="s">
        <v>110</v>
      </c>
      <c r="C123" s="94">
        <f>+ER!C15</f>
        <v>780000</v>
      </c>
      <c r="D123" s="95" t="s">
        <v>55</v>
      </c>
      <c r="E123" s="96">
        <f>+C123/C124</f>
        <v>7.5875486381322951E-2</v>
      </c>
      <c r="G123" s="94">
        <f>+ER!D15</f>
        <v>730000</v>
      </c>
      <c r="H123" s="97" t="s">
        <v>55</v>
      </c>
      <c r="I123" s="98">
        <f>+G123/G124</f>
        <v>7.2999999999999995E-2</v>
      </c>
    </row>
    <row r="124" spans="1:9" x14ac:dyDescent="0.45">
      <c r="B124" s="106" t="s">
        <v>59</v>
      </c>
      <c r="C124" s="92">
        <f>+BG!E21</f>
        <v>10280000</v>
      </c>
      <c r="D124" s="99"/>
      <c r="E124" s="100"/>
      <c r="G124" s="92">
        <f>+BG!F21</f>
        <v>10000000</v>
      </c>
      <c r="H124" s="101"/>
      <c r="I124" s="102"/>
    </row>
    <row r="126" spans="1:9" x14ac:dyDescent="0.45">
      <c r="A126" s="91" t="s">
        <v>123</v>
      </c>
    </row>
    <row r="127" spans="1:9" x14ac:dyDescent="0.45">
      <c r="B127" s="105" t="s">
        <v>110</v>
      </c>
      <c r="C127" s="94">
        <f>+C123</f>
        <v>780000</v>
      </c>
      <c r="D127" s="95" t="s">
        <v>55</v>
      </c>
      <c r="E127" s="96">
        <f>+C127/C128</f>
        <v>0.156</v>
      </c>
      <c r="G127" s="94">
        <f>+G123</f>
        <v>730000</v>
      </c>
      <c r="H127" s="97" t="s">
        <v>55</v>
      </c>
      <c r="I127" s="98">
        <f>+G127/G128</f>
        <v>0.14599999999999999</v>
      </c>
    </row>
    <row r="128" spans="1:9" x14ac:dyDescent="0.45">
      <c r="B128" s="106" t="s">
        <v>124</v>
      </c>
      <c r="C128" s="92">
        <f>+BG!L14</f>
        <v>5000000</v>
      </c>
      <c r="D128" s="99"/>
      <c r="E128" s="100"/>
      <c r="G128" s="92">
        <f>+BG!M14</f>
        <v>5000000</v>
      </c>
      <c r="H128" s="101"/>
      <c r="I128" s="102"/>
    </row>
    <row r="130" spans="1:9" x14ac:dyDescent="0.45">
      <c r="A130" s="91" t="s">
        <v>125</v>
      </c>
    </row>
    <row r="131" spans="1:9" x14ac:dyDescent="0.45">
      <c r="B131" s="105" t="s">
        <v>110</v>
      </c>
      <c r="C131" s="94">
        <f>+C127</f>
        <v>780000</v>
      </c>
      <c r="D131" s="95" t="s">
        <v>55</v>
      </c>
      <c r="E131" s="107">
        <f>+C131/C132</f>
        <v>0.11504424778761062</v>
      </c>
      <c r="G131" s="94">
        <f>+G127</f>
        <v>730000</v>
      </c>
      <c r="H131" s="97" t="s">
        <v>55</v>
      </c>
      <c r="I131" s="108">
        <f>+G131/G132</f>
        <v>0.12166666666666667</v>
      </c>
    </row>
    <row r="132" spans="1:9" x14ac:dyDescent="0.45">
      <c r="B132" s="106" t="s">
        <v>124</v>
      </c>
      <c r="C132" s="92">
        <f>+BG!L19</f>
        <v>6780000</v>
      </c>
      <c r="D132" s="99"/>
      <c r="E132" s="107"/>
      <c r="G132" s="92">
        <f>+BG!M19</f>
        <v>6000000</v>
      </c>
      <c r="H132" s="101"/>
      <c r="I132" s="108"/>
    </row>
  </sheetData>
  <mergeCells count="65">
    <mergeCell ref="D3:D4"/>
    <mergeCell ref="E3:E4"/>
    <mergeCell ref="D7:D8"/>
    <mergeCell ref="E7:E8"/>
    <mergeCell ref="D11:D12"/>
    <mergeCell ref="E11:E12"/>
    <mergeCell ref="D15:D16"/>
    <mergeCell ref="E15:E16"/>
    <mergeCell ref="D23:D24"/>
    <mergeCell ref="E23:E24"/>
    <mergeCell ref="D27:D28"/>
    <mergeCell ref="E27:E28"/>
    <mergeCell ref="D31:D32"/>
    <mergeCell ref="E31:E32"/>
    <mergeCell ref="D35:D36"/>
    <mergeCell ref="E35:E36"/>
    <mergeCell ref="D39:D40"/>
    <mergeCell ref="E39:E40"/>
    <mergeCell ref="D43:D44"/>
    <mergeCell ref="E43:E44"/>
    <mergeCell ref="D47:D48"/>
    <mergeCell ref="E47:E48"/>
    <mergeCell ref="D51:D52"/>
    <mergeCell ref="E51:E52"/>
    <mergeCell ref="D55:D56"/>
    <mergeCell ref="E55:E56"/>
    <mergeCell ref="D59:D60"/>
    <mergeCell ref="E59:E60"/>
    <mergeCell ref="D63:D64"/>
    <mergeCell ref="E63:E64"/>
    <mergeCell ref="D67:D68"/>
    <mergeCell ref="E67:E68"/>
    <mergeCell ref="D71:D72"/>
    <mergeCell ref="E71:E72"/>
    <mergeCell ref="D75:D76"/>
    <mergeCell ref="E75:E76"/>
    <mergeCell ref="D79:D80"/>
    <mergeCell ref="E79:E80"/>
    <mergeCell ref="D83:D84"/>
    <mergeCell ref="E83:E84"/>
    <mergeCell ref="D87:D88"/>
    <mergeCell ref="E87:E88"/>
    <mergeCell ref="E111:E112"/>
    <mergeCell ref="D91:D92"/>
    <mergeCell ref="E91:E92"/>
    <mergeCell ref="D95:D96"/>
    <mergeCell ref="E95:E96"/>
    <mergeCell ref="D99:D100"/>
    <mergeCell ref="E99:E100"/>
    <mergeCell ref="B47:B48"/>
    <mergeCell ref="D127:D128"/>
    <mergeCell ref="E127:E128"/>
    <mergeCell ref="D131:D132"/>
    <mergeCell ref="E131:E132"/>
    <mergeCell ref="D115:D116"/>
    <mergeCell ref="E115:E116"/>
    <mergeCell ref="D119:D120"/>
    <mergeCell ref="E119:E120"/>
    <mergeCell ref="D123:D124"/>
    <mergeCell ref="E123:E124"/>
    <mergeCell ref="D103:D104"/>
    <mergeCell ref="E103:E104"/>
    <mergeCell ref="D107:D108"/>
    <mergeCell ref="E107:E108"/>
    <mergeCell ref="D111:D112"/>
  </mergeCells>
  <pageMargins left="0.38" right="0.25" top="0.18" bottom="0.48" header="0.13" footer="0.47"/>
  <pageSetup scale="74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1"/>
  <sheetViews>
    <sheetView showGridLines="0" zoomScale="50" zoomScaleNormal="50" workbookViewId="0">
      <selection activeCell="M21" sqref="M21"/>
    </sheetView>
  </sheetViews>
  <sheetFormatPr baseColWidth="10" defaultColWidth="11.53125" defaultRowHeight="14.25" x14ac:dyDescent="0.45"/>
  <cols>
    <col min="1" max="1" width="16.46484375" style="34" customWidth="1"/>
    <col min="2" max="2" width="13.59765625" style="34" bestFit="1" customWidth="1"/>
    <col min="3" max="3" width="11.53125" style="34"/>
    <col min="4" max="4" width="13.796875" style="34" customWidth="1"/>
    <col min="5" max="5" width="13.59765625" style="34" bestFit="1" customWidth="1"/>
    <col min="6" max="6" width="15.796875" style="34" customWidth="1"/>
    <col min="7" max="8" width="11.53125" style="34"/>
    <col min="9" max="9" width="13.796875" style="34" customWidth="1"/>
    <col min="10" max="10" width="11.53125" style="34"/>
    <col min="11" max="11" width="14.33203125" style="34" customWidth="1"/>
    <col min="12" max="12" width="11.53125" style="34"/>
    <col min="13" max="13" width="14.59765625" style="34" customWidth="1"/>
    <col min="14" max="14" width="12.06640625" style="34" bestFit="1" customWidth="1"/>
    <col min="15" max="15" width="13.796875" style="34" customWidth="1"/>
    <col min="16" max="16" width="12.06640625" style="34" bestFit="1" customWidth="1"/>
    <col min="17" max="17" width="11.53125" style="34"/>
    <col min="18" max="24" width="11.53125" style="68"/>
    <col min="25" max="32" width="12.9296875" style="68" customWidth="1"/>
    <col min="33" max="16384" width="11.53125" style="68"/>
  </cols>
  <sheetData>
    <row r="1" spans="2:32" x14ac:dyDescent="0.45">
      <c r="X1" s="84" t="s">
        <v>142</v>
      </c>
      <c r="Y1" s="85"/>
    </row>
    <row r="2" spans="2:32" ht="14.65" thickBot="1" x14ac:dyDescent="0.5">
      <c r="X2" s="40">
        <f>+V6/Z6</f>
        <v>0.11504424778761063</v>
      </c>
      <c r="Y2" s="51">
        <f>+W6/AA6</f>
        <v>0.25236593059936907</v>
      </c>
    </row>
    <row r="3" spans="2:32" x14ac:dyDescent="0.45">
      <c r="X3" s="69"/>
    </row>
    <row r="4" spans="2:32" ht="14.65" thickBot="1" x14ac:dyDescent="0.5">
      <c r="W4" s="70"/>
      <c r="X4" s="71"/>
      <c r="Y4" s="71"/>
      <c r="Z4" s="72"/>
    </row>
    <row r="5" spans="2:32" x14ac:dyDescent="0.45">
      <c r="G5" s="84" t="s">
        <v>138</v>
      </c>
      <c r="H5" s="85"/>
      <c r="I5" s="78"/>
      <c r="J5" s="79"/>
      <c r="K5" s="79"/>
      <c r="L5" s="79"/>
      <c r="M5" s="79"/>
      <c r="N5" s="79"/>
      <c r="O5" s="79"/>
      <c r="P5" s="79"/>
      <c r="Q5" s="79"/>
      <c r="R5" s="73"/>
      <c r="S5" s="73"/>
      <c r="T5" s="73"/>
      <c r="U5" s="80"/>
      <c r="V5" s="84" t="s">
        <v>138</v>
      </c>
      <c r="W5" s="85"/>
      <c r="Y5" s="34"/>
      <c r="Z5" s="84" t="s">
        <v>141</v>
      </c>
      <c r="AA5" s="85"/>
    </row>
    <row r="6" spans="2:32" ht="14.65" thickBot="1" x14ac:dyDescent="0.5">
      <c r="G6" s="40">
        <f>+D10*K10</f>
        <v>7.5875486381322965E-2</v>
      </c>
      <c r="H6" s="51">
        <f>+E10*L10</f>
        <v>7.1620411817367946E-2</v>
      </c>
      <c r="V6" s="40">
        <f>+G6</f>
        <v>7.5875486381322965E-2</v>
      </c>
      <c r="W6" s="51">
        <f>+H6</f>
        <v>7.1620411817367946E-2</v>
      </c>
      <c r="Y6" s="34"/>
      <c r="Z6" s="53">
        <f>+AE10/M14</f>
        <v>0.65953307392996108</v>
      </c>
      <c r="AA6" s="35">
        <f>+AF10/N14</f>
        <v>0.28379588182632048</v>
      </c>
    </row>
    <row r="7" spans="2:32" x14ac:dyDescent="0.45">
      <c r="G7" s="36"/>
      <c r="Y7" s="34"/>
      <c r="Z7" s="36"/>
      <c r="AA7" s="34"/>
      <c r="AB7" s="73"/>
      <c r="AC7" s="73"/>
      <c r="AD7" s="73"/>
    </row>
    <row r="8" spans="2:32" ht="14.65" thickBot="1" x14ac:dyDescent="0.5">
      <c r="E8" s="37"/>
      <c r="F8" s="38"/>
      <c r="G8" s="38"/>
      <c r="H8" s="38"/>
      <c r="I8" s="38"/>
      <c r="J8" s="38"/>
      <c r="K8" s="39"/>
      <c r="Y8" s="34"/>
      <c r="Z8" s="37"/>
      <c r="AA8" s="38"/>
      <c r="AB8" s="34"/>
      <c r="AC8" s="54"/>
      <c r="AE8" s="39"/>
      <c r="AF8" s="34"/>
    </row>
    <row r="9" spans="2:32" x14ac:dyDescent="0.45">
      <c r="D9" s="84" t="s">
        <v>132</v>
      </c>
      <c r="E9" s="85"/>
      <c r="H9" s="77"/>
      <c r="K9" s="84" t="s">
        <v>133</v>
      </c>
      <c r="L9" s="85"/>
      <c r="Y9" s="86" t="s">
        <v>134</v>
      </c>
      <c r="Z9" s="86"/>
      <c r="AA9" s="46"/>
      <c r="AB9" s="86" t="s">
        <v>139</v>
      </c>
      <c r="AC9" s="86"/>
      <c r="AE9" s="86" t="s">
        <v>140</v>
      </c>
      <c r="AF9" s="86"/>
    </row>
    <row r="10" spans="2:32" ht="14.65" thickBot="1" x14ac:dyDescent="0.5">
      <c r="D10" s="40">
        <f>+B14/F14</f>
        <v>6.5000000000000002E-2</v>
      </c>
      <c r="E10" s="51">
        <f>+C14/G14</f>
        <v>2.7193310445630375E-2</v>
      </c>
      <c r="K10" s="52">
        <f>+I14/M14</f>
        <v>1.1673151750972763</v>
      </c>
      <c r="L10" s="41">
        <f>+J14/N14</f>
        <v>2.6337511190689344</v>
      </c>
      <c r="Y10" s="55">
        <f>+M14</f>
        <v>10280000</v>
      </c>
      <c r="Z10" s="56">
        <f>+N14</f>
        <v>1117000</v>
      </c>
      <c r="AA10" s="46"/>
      <c r="AB10" s="55">
        <f>+BG!L11</f>
        <v>3500000</v>
      </c>
      <c r="AC10" s="49">
        <v>800000</v>
      </c>
      <c r="AE10" s="55">
        <f>+Y10-AB10</f>
        <v>6780000</v>
      </c>
      <c r="AF10" s="56">
        <f>+Z10-AC10</f>
        <v>317000</v>
      </c>
    </row>
    <row r="11" spans="2:32" x14ac:dyDescent="0.45">
      <c r="D11" s="36"/>
      <c r="K11" s="36"/>
    </row>
    <row r="12" spans="2:32" x14ac:dyDescent="0.45">
      <c r="C12" s="37"/>
      <c r="D12" s="38"/>
      <c r="E12" s="38"/>
      <c r="F12" s="39"/>
      <c r="J12" s="37"/>
      <c r="K12" s="38"/>
      <c r="L12" s="38"/>
      <c r="M12" s="39"/>
    </row>
    <row r="13" spans="2:32" x14ac:dyDescent="0.45">
      <c r="B13" s="86" t="s">
        <v>39</v>
      </c>
      <c r="C13" s="86"/>
      <c r="F13" s="86" t="s">
        <v>29</v>
      </c>
      <c r="G13" s="86"/>
      <c r="I13" s="86" t="s">
        <v>29</v>
      </c>
      <c r="J13" s="86"/>
      <c r="M13" s="86" t="s">
        <v>134</v>
      </c>
      <c r="N13" s="86"/>
    </row>
    <row r="14" spans="2:32" x14ac:dyDescent="0.45">
      <c r="B14" s="42">
        <f>+A18-D18-D21-D24-D27</f>
        <v>780000</v>
      </c>
      <c r="C14" s="43">
        <f>+B18-E18-E21-E24-E27</f>
        <v>80000</v>
      </c>
      <c r="F14" s="42">
        <f>+A18</f>
        <v>12000000</v>
      </c>
      <c r="G14" s="43">
        <f>+B18</f>
        <v>2941900</v>
      </c>
      <c r="I14" s="42">
        <f>+A18</f>
        <v>12000000</v>
      </c>
      <c r="J14" s="43">
        <f>+B18</f>
        <v>2941900</v>
      </c>
      <c r="M14" s="42">
        <f>+K18+O18</f>
        <v>10280000</v>
      </c>
      <c r="N14" s="43">
        <f>+L18+P18</f>
        <v>1117000</v>
      </c>
    </row>
    <row r="15" spans="2:32" x14ac:dyDescent="0.45">
      <c r="B15" s="44"/>
      <c r="M15" s="45"/>
      <c r="U15" s="74"/>
    </row>
    <row r="16" spans="2:32" x14ac:dyDescent="0.45">
      <c r="B16" s="37"/>
      <c r="C16" s="38"/>
      <c r="D16" s="39"/>
      <c r="L16" s="37"/>
      <c r="M16" s="38"/>
      <c r="N16" s="38"/>
      <c r="O16" s="39"/>
    </row>
    <row r="17" spans="1:16" x14ac:dyDescent="0.45">
      <c r="A17" s="86" t="s">
        <v>29</v>
      </c>
      <c r="B17" s="86"/>
      <c r="D17" s="86" t="s">
        <v>130</v>
      </c>
      <c r="E17" s="86"/>
      <c r="K17" s="86" t="s">
        <v>135</v>
      </c>
      <c r="L17" s="86"/>
      <c r="M17" s="46"/>
      <c r="N17" s="46"/>
      <c r="O17" s="86" t="s">
        <v>136</v>
      </c>
      <c r="P17" s="86"/>
    </row>
    <row r="18" spans="1:16" x14ac:dyDescent="0.45">
      <c r="A18" s="55">
        <f>+ER!C5</f>
        <v>12000000</v>
      </c>
      <c r="B18" s="49">
        <v>2941900</v>
      </c>
      <c r="C18" s="75">
        <f>+D18/$A$18</f>
        <v>0.45833333333333331</v>
      </c>
      <c r="D18" s="55">
        <f>+ER!C6</f>
        <v>5500000</v>
      </c>
      <c r="E18" s="49">
        <v>1681000</v>
      </c>
      <c r="K18" s="42">
        <f>M21+M24+M27+M30</f>
        <v>3580000</v>
      </c>
      <c r="L18" s="43">
        <f>+N21+N24+N27+N30</f>
        <v>300000</v>
      </c>
      <c r="M18" s="46"/>
      <c r="N18" s="46"/>
      <c r="O18" s="55">
        <f>+BG!E14</f>
        <v>6700000</v>
      </c>
      <c r="P18" s="49">
        <v>817000</v>
      </c>
    </row>
    <row r="19" spans="1:16" x14ac:dyDescent="0.45">
      <c r="D19" s="44"/>
      <c r="K19" s="39"/>
      <c r="M19" s="46"/>
      <c r="N19" s="46"/>
    </row>
    <row r="20" spans="1:16" x14ac:dyDescent="0.45">
      <c r="D20" s="86" t="s">
        <v>131</v>
      </c>
      <c r="E20" s="86"/>
      <c r="K20" s="47"/>
      <c r="L20" s="48"/>
      <c r="M20" s="86" t="s">
        <v>3</v>
      </c>
      <c r="N20" s="86"/>
    </row>
    <row r="21" spans="1:16" x14ac:dyDescent="0.45">
      <c r="C21" s="75">
        <f>+D21/$A$18</f>
        <v>0.35416666666666669</v>
      </c>
      <c r="D21" s="55">
        <f>+ER!C8+ER!C10</f>
        <v>4250000</v>
      </c>
      <c r="E21" s="49">
        <v>1058337</v>
      </c>
      <c r="K21" s="47"/>
      <c r="L21" s="76"/>
      <c r="M21" s="55">
        <f>+BG!E6</f>
        <v>1280000</v>
      </c>
      <c r="N21" s="49">
        <v>30000</v>
      </c>
    </row>
    <row r="22" spans="1:16" x14ac:dyDescent="0.45">
      <c r="D22" s="44"/>
      <c r="K22" s="47"/>
    </row>
    <row r="23" spans="1:16" x14ac:dyDescent="0.45">
      <c r="D23" s="86" t="s">
        <v>58</v>
      </c>
      <c r="E23" s="86"/>
      <c r="K23" s="47"/>
      <c r="L23" s="48"/>
      <c r="M23" s="86" t="s">
        <v>5</v>
      </c>
      <c r="N23" s="86"/>
    </row>
    <row r="24" spans="1:16" x14ac:dyDescent="0.45">
      <c r="C24" s="75">
        <f>+D24/$A$18</f>
        <v>0.05</v>
      </c>
      <c r="D24" s="55">
        <f>+ER!C12</f>
        <v>600000</v>
      </c>
      <c r="E24" s="49">
        <v>91451.89</v>
      </c>
      <c r="K24" s="47"/>
      <c r="M24" s="55">
        <f>+BG!E8</f>
        <v>1000000</v>
      </c>
      <c r="N24" s="49">
        <v>40000</v>
      </c>
    </row>
    <row r="25" spans="1:16" x14ac:dyDescent="0.45">
      <c r="D25" s="44"/>
      <c r="K25" s="47"/>
    </row>
    <row r="26" spans="1:16" x14ac:dyDescent="0.45">
      <c r="D26" s="86" t="s">
        <v>38</v>
      </c>
      <c r="E26" s="86"/>
      <c r="K26" s="47"/>
      <c r="L26" s="48"/>
      <c r="M26" s="86" t="s">
        <v>6</v>
      </c>
      <c r="N26" s="86"/>
    </row>
    <row r="27" spans="1:16" x14ac:dyDescent="0.45">
      <c r="C27" s="75">
        <f>+D27/$A$18</f>
        <v>7.2499999999999995E-2</v>
      </c>
      <c r="D27" s="55">
        <f>+ER!C14</f>
        <v>870000</v>
      </c>
      <c r="E27" s="49">
        <v>31111.11</v>
      </c>
      <c r="K27" s="47"/>
      <c r="M27" s="55">
        <f>+BG!E9</f>
        <v>1000000</v>
      </c>
      <c r="N27" s="49">
        <v>210000</v>
      </c>
    </row>
    <row r="28" spans="1:16" x14ac:dyDescent="0.45">
      <c r="K28" s="47"/>
    </row>
    <row r="29" spans="1:16" x14ac:dyDescent="0.45">
      <c r="K29" s="47"/>
      <c r="L29" s="48"/>
      <c r="M29" s="86" t="s">
        <v>137</v>
      </c>
      <c r="N29" s="86"/>
    </row>
    <row r="30" spans="1:16" x14ac:dyDescent="0.45">
      <c r="M30" s="55">
        <f>+BG!E11</f>
        <v>300000</v>
      </c>
      <c r="N30" s="49">
        <v>20000</v>
      </c>
    </row>
    <row r="31" spans="1:16" x14ac:dyDescent="0.45">
      <c r="M31" s="50"/>
      <c r="N31" s="50"/>
    </row>
  </sheetData>
  <mergeCells count="24">
    <mergeCell ref="M29:N29"/>
    <mergeCell ref="B13:C13"/>
    <mergeCell ref="D17:E17"/>
    <mergeCell ref="D20:E20"/>
    <mergeCell ref="D23:E23"/>
    <mergeCell ref="D26:E26"/>
    <mergeCell ref="M26:N26"/>
    <mergeCell ref="K17:L17"/>
    <mergeCell ref="M20:N20"/>
    <mergeCell ref="M23:N23"/>
    <mergeCell ref="F13:G13"/>
    <mergeCell ref="I13:J13"/>
    <mergeCell ref="AE9:AF9"/>
    <mergeCell ref="AB9:AC9"/>
    <mergeCell ref="V5:W5"/>
    <mergeCell ref="M13:N13"/>
    <mergeCell ref="O17:P17"/>
    <mergeCell ref="X1:Y1"/>
    <mergeCell ref="A17:B17"/>
    <mergeCell ref="G5:H5"/>
    <mergeCell ref="Z5:AA5"/>
    <mergeCell ref="Y9:Z9"/>
    <mergeCell ref="D9:E9"/>
    <mergeCell ref="K9:L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zoomScale="138" zoomScaleNormal="80" workbookViewId="0">
      <selection activeCell="A3" sqref="A3:D3"/>
    </sheetView>
  </sheetViews>
  <sheetFormatPr baseColWidth="10" defaultRowHeight="14.25" x14ac:dyDescent="0.45"/>
  <cols>
    <col min="1" max="1" width="12.06640625" customWidth="1"/>
    <col min="2" max="2" width="30.796875" customWidth="1"/>
    <col min="3" max="4" width="18.06640625" customWidth="1"/>
  </cols>
  <sheetData>
    <row r="1" spans="1:4" x14ac:dyDescent="0.45">
      <c r="A1" s="87" t="s">
        <v>169</v>
      </c>
      <c r="B1" s="87"/>
      <c r="C1" s="87"/>
      <c r="D1" s="87"/>
    </row>
    <row r="2" spans="1:4" x14ac:dyDescent="0.45">
      <c r="A2" s="88" t="s">
        <v>143</v>
      </c>
      <c r="B2" s="88"/>
      <c r="C2" s="88"/>
      <c r="D2" s="88"/>
    </row>
    <row r="3" spans="1:4" x14ac:dyDescent="0.45">
      <c r="A3" s="88" t="s">
        <v>170</v>
      </c>
      <c r="B3" s="88"/>
      <c r="C3" s="88"/>
      <c r="D3" s="88"/>
    </row>
    <row r="4" spans="1:4" x14ac:dyDescent="0.45">
      <c r="A4" s="89" t="s">
        <v>171</v>
      </c>
      <c r="B4" s="89"/>
      <c r="C4" s="89"/>
      <c r="D4" s="89"/>
    </row>
    <row r="5" spans="1:4" x14ac:dyDescent="0.45">
      <c r="A5" s="57"/>
      <c r="B5" s="57"/>
      <c r="C5" s="57"/>
      <c r="D5" s="57"/>
    </row>
    <row r="6" spans="1:4" x14ac:dyDescent="0.45">
      <c r="A6" s="57"/>
      <c r="B6" s="57"/>
      <c r="C6" s="57"/>
      <c r="D6" s="57"/>
    </row>
    <row r="7" spans="1:4" x14ac:dyDescent="0.45">
      <c r="A7" s="58"/>
      <c r="B7" s="58" t="s">
        <v>144</v>
      </c>
      <c r="C7" s="59">
        <f>+BG!E4</f>
        <v>3580000</v>
      </c>
      <c r="D7" s="60"/>
    </row>
    <row r="8" spans="1:4" x14ac:dyDescent="0.45">
      <c r="A8" s="58" t="s">
        <v>145</v>
      </c>
      <c r="B8" s="61" t="s">
        <v>146</v>
      </c>
      <c r="C8" s="62">
        <f>-BG!L4</f>
        <v>-1500000</v>
      </c>
      <c r="D8" s="60">
        <f>(C7+C8)/C9</f>
        <v>0.20233463035019456</v>
      </c>
    </row>
    <row r="9" spans="1:4" x14ac:dyDescent="0.45">
      <c r="A9" s="58"/>
      <c r="B9" s="58" t="s">
        <v>147</v>
      </c>
      <c r="C9" s="59">
        <f>+C12</f>
        <v>10280000</v>
      </c>
      <c r="D9" s="58" t="s">
        <v>148</v>
      </c>
    </row>
    <row r="10" spans="1:4" x14ac:dyDescent="0.45">
      <c r="A10" s="58"/>
      <c r="B10" s="58"/>
      <c r="C10" s="59"/>
      <c r="D10" s="58"/>
    </row>
    <row r="11" spans="1:4" x14ac:dyDescent="0.45">
      <c r="A11" s="58" t="s">
        <v>149</v>
      </c>
      <c r="B11" s="61" t="s">
        <v>150</v>
      </c>
      <c r="C11" s="62">
        <f>+BG!L18</f>
        <v>1000000</v>
      </c>
      <c r="D11" s="63">
        <f>C11/C12</f>
        <v>9.727626459143969E-2</v>
      </c>
    </row>
    <row r="12" spans="1:4" x14ac:dyDescent="0.45">
      <c r="A12" s="58"/>
      <c r="B12" s="58" t="s">
        <v>147</v>
      </c>
      <c r="C12" s="59">
        <f>+BG!E21</f>
        <v>10280000</v>
      </c>
      <c r="D12" s="58" t="s">
        <v>148</v>
      </c>
    </row>
    <row r="13" spans="1:4" x14ac:dyDescent="0.45">
      <c r="A13" s="58"/>
      <c r="B13" s="58"/>
      <c r="C13" s="59"/>
      <c r="D13" s="58"/>
    </row>
    <row r="14" spans="1:4" x14ac:dyDescent="0.45">
      <c r="A14" s="58" t="s">
        <v>151</v>
      </c>
      <c r="B14" s="61" t="s">
        <v>152</v>
      </c>
      <c r="C14" s="62">
        <f>+ER!C11</f>
        <v>2250000</v>
      </c>
      <c r="D14" s="63">
        <f>C14/C15</f>
        <v>0.2188715953307393</v>
      </c>
    </row>
    <row r="15" spans="1:4" x14ac:dyDescent="0.45">
      <c r="A15" s="58"/>
      <c r="B15" s="58" t="s">
        <v>147</v>
      </c>
      <c r="C15" s="59">
        <f>+C12</f>
        <v>10280000</v>
      </c>
      <c r="D15" s="58" t="s">
        <v>148</v>
      </c>
    </row>
    <row r="16" spans="1:4" x14ac:dyDescent="0.45">
      <c r="A16" s="58"/>
      <c r="B16" s="58"/>
      <c r="C16" s="59"/>
      <c r="D16" s="58"/>
    </row>
    <row r="17" spans="1:4" x14ac:dyDescent="0.45">
      <c r="A17" s="58"/>
      <c r="B17" s="58" t="s">
        <v>153</v>
      </c>
      <c r="C17" s="59"/>
      <c r="D17" s="58"/>
    </row>
    <row r="18" spans="1:4" x14ac:dyDescent="0.45">
      <c r="A18" s="58" t="s">
        <v>154</v>
      </c>
      <c r="B18" s="61" t="s">
        <v>155</v>
      </c>
      <c r="C18" s="62">
        <f>+D27</f>
        <v>6780000</v>
      </c>
      <c r="D18" s="63">
        <f>C18/C19</f>
        <v>1.9371428571428571</v>
      </c>
    </row>
    <row r="19" spans="1:4" x14ac:dyDescent="0.45">
      <c r="A19" s="58"/>
      <c r="B19" s="58" t="s">
        <v>156</v>
      </c>
      <c r="C19" s="59">
        <f>+BG!L11</f>
        <v>3500000</v>
      </c>
      <c r="D19" s="58" t="s">
        <v>148</v>
      </c>
    </row>
    <row r="20" spans="1:4" x14ac:dyDescent="0.45">
      <c r="A20" s="58"/>
      <c r="B20" s="58"/>
      <c r="C20" s="59"/>
      <c r="D20" s="58"/>
    </row>
    <row r="21" spans="1:4" x14ac:dyDescent="0.45">
      <c r="A21" s="58" t="s">
        <v>157</v>
      </c>
      <c r="B21" s="61" t="s">
        <v>158</v>
      </c>
      <c r="C21" s="62">
        <f>+ER!C5</f>
        <v>12000000</v>
      </c>
      <c r="D21" s="63">
        <f>C21/C22</f>
        <v>1.1673151750972763</v>
      </c>
    </row>
    <row r="22" spans="1:4" x14ac:dyDescent="0.45">
      <c r="A22" s="57"/>
      <c r="B22" s="58" t="s">
        <v>147</v>
      </c>
      <c r="C22" s="59">
        <f>C9</f>
        <v>10280000</v>
      </c>
      <c r="D22" s="58" t="s">
        <v>159</v>
      </c>
    </row>
    <row r="23" spans="1:4" x14ac:dyDescent="0.45">
      <c r="A23" s="57"/>
      <c r="B23" s="57"/>
      <c r="C23" s="57"/>
      <c r="D23" s="57"/>
    </row>
    <row r="24" spans="1:4" x14ac:dyDescent="0.45">
      <c r="A24" s="57"/>
      <c r="B24" s="57"/>
      <c r="C24" s="57"/>
      <c r="D24" s="57"/>
    </row>
    <row r="25" spans="1:4" x14ac:dyDescent="0.45">
      <c r="A25" s="57" t="s">
        <v>160</v>
      </c>
      <c r="B25" s="57"/>
      <c r="C25" s="57"/>
      <c r="D25" s="57"/>
    </row>
    <row r="26" spans="1:4" x14ac:dyDescent="0.45">
      <c r="A26" s="57"/>
      <c r="B26" s="57" t="s">
        <v>161</v>
      </c>
      <c r="C26" s="57" t="s">
        <v>162</v>
      </c>
      <c r="D26" s="58" t="s">
        <v>163</v>
      </c>
    </row>
    <row r="27" spans="1:4" x14ac:dyDescent="0.45">
      <c r="A27" s="57"/>
      <c r="B27" s="59">
        <v>500</v>
      </c>
      <c r="C27" s="64">
        <f>+BG!L19/500</f>
        <v>13560</v>
      </c>
      <c r="D27" s="65">
        <f>+B27*C27</f>
        <v>6780000</v>
      </c>
    </row>
    <row r="28" spans="1:4" x14ac:dyDescent="0.45">
      <c r="A28" s="90" t="s">
        <v>164</v>
      </c>
      <c r="B28" s="90"/>
      <c r="C28" s="90"/>
      <c r="D28" s="90"/>
    </row>
    <row r="29" spans="1:4" x14ac:dyDescent="0.45">
      <c r="A29" s="90"/>
      <c r="B29" s="90"/>
      <c r="C29" s="90"/>
      <c r="D29" s="90"/>
    </row>
    <row r="30" spans="1:4" x14ac:dyDescent="0.45">
      <c r="A30" s="90"/>
      <c r="B30" s="90"/>
      <c r="C30" s="90"/>
      <c r="D30" s="90"/>
    </row>
    <row r="31" spans="1:4" x14ac:dyDescent="0.45">
      <c r="A31" s="57"/>
      <c r="B31" s="57"/>
      <c r="C31" s="57"/>
      <c r="D31" s="57"/>
    </row>
    <row r="32" spans="1:4" x14ac:dyDescent="0.45">
      <c r="A32" s="57"/>
      <c r="B32" s="57"/>
      <c r="C32" s="57"/>
      <c r="D32" s="57"/>
    </row>
    <row r="33" spans="1:4" x14ac:dyDescent="0.45">
      <c r="A33" s="57" t="s">
        <v>165</v>
      </c>
      <c r="B33" s="57"/>
      <c r="C33" s="57"/>
      <c r="D33" s="57"/>
    </row>
    <row r="34" spans="1:4" x14ac:dyDescent="0.45">
      <c r="A34" s="57"/>
      <c r="B34" s="57"/>
      <c r="C34" s="57"/>
      <c r="D34" s="57"/>
    </row>
    <row r="35" spans="1:4" x14ac:dyDescent="0.45">
      <c r="A35" s="57" t="str">
        <f>CONCATENATE("Z = 1.2 (",TEXT(D8,"0.00"),") + 1.4 (",TEXT(D11,"0.00"),") + 3.3 (",TEXT(D14,"0.00"),") + 0.6 (",TEXT(D18,"0.00"),") + 1.0 (",TEXT(D21,"0.00"),")")</f>
        <v>Z = 1.2 (0.20) + 1.4 (0.10) + 3.3 (0.22) + 0.6 (1.94) + 1.0 (1.17)</v>
      </c>
      <c r="B35" s="57"/>
      <c r="C35" s="57"/>
      <c r="D35" s="57"/>
    </row>
    <row r="36" spans="1:4" x14ac:dyDescent="0.45">
      <c r="A36" s="57"/>
      <c r="B36" s="57"/>
      <c r="C36" s="57"/>
      <c r="D36" s="57"/>
    </row>
    <row r="37" spans="1:4" x14ac:dyDescent="0.45">
      <c r="A37" s="66" t="str">
        <f>CONCATENATE("Z= ",TEXT(1.2*(D8),"0.00 + "),TEXT(1.4*(D11),"0.00 + "),TEXT(3.3*(D14),"0.00 + "),TEXT(0.6*(D18),"0.00 + "),TEXT(1*(D21),"0.00 "))</f>
        <v xml:space="preserve">Z= 0.24 + 0.14 + 0.72 + 1.16 + 1.17 </v>
      </c>
      <c r="B37" s="57"/>
      <c r="C37" s="57"/>
      <c r="D37" s="57"/>
    </row>
    <row r="38" spans="1:4" x14ac:dyDescent="0.45">
      <c r="A38" s="57"/>
      <c r="B38" s="57"/>
      <c r="C38" s="57"/>
      <c r="D38" s="57"/>
    </row>
    <row r="39" spans="1:4" x14ac:dyDescent="0.45">
      <c r="A39" s="66" t="str">
        <f>CONCATENATE("Z=",TEXT(1.2*(D8)+1.4*(D11)+3.3*(D14)+0.6*(D18)+1*(D21),"0.00"))</f>
        <v>Z=3.43</v>
      </c>
      <c r="B39" s="57"/>
      <c r="C39" s="57"/>
      <c r="D39" s="57"/>
    </row>
    <row r="40" spans="1:4" x14ac:dyDescent="0.45">
      <c r="A40" s="67">
        <f>(1.2*(D8)+1.4*(D11)+3.3*(D14)+0.6*(D18)+1*(D21))</f>
        <v>3.4308654808226793</v>
      </c>
      <c r="B40" s="57"/>
      <c r="C40" s="57"/>
      <c r="D40" s="57"/>
    </row>
    <row r="41" spans="1:4" x14ac:dyDescent="0.45">
      <c r="A41" s="57"/>
      <c r="B41" s="57"/>
      <c r="C41" s="57"/>
      <c r="D41" s="57"/>
    </row>
    <row r="42" spans="1:4" x14ac:dyDescent="0.45">
      <c r="A42" s="57" t="s">
        <v>166</v>
      </c>
      <c r="B42" s="57"/>
      <c r="C42" s="57"/>
      <c r="D42" s="57"/>
    </row>
    <row r="43" spans="1:4" x14ac:dyDescent="0.45">
      <c r="A43" s="57" t="s">
        <v>167</v>
      </c>
      <c r="B43" s="66"/>
      <c r="C43" s="66"/>
      <c r="D43" s="57"/>
    </row>
    <row r="44" spans="1:4" x14ac:dyDescent="0.45">
      <c r="A44" s="57" t="s">
        <v>168</v>
      </c>
      <c r="B44" s="57"/>
      <c r="C44" s="57"/>
      <c r="D44" s="57"/>
    </row>
  </sheetData>
  <mergeCells count="5">
    <mergeCell ref="A1:D1"/>
    <mergeCell ref="A2:D2"/>
    <mergeCell ref="A3:D3"/>
    <mergeCell ref="A4:D4"/>
    <mergeCell ref="A28:D30"/>
  </mergeCells>
  <conditionalFormatting sqref="A42">
    <cfRule type="expression" dxfId="2" priority="3" stopIfTrue="1">
      <formula>A$40&lt;1.81</formula>
    </cfRule>
  </conditionalFormatting>
  <conditionalFormatting sqref="A43">
    <cfRule type="expression" dxfId="1" priority="2" stopIfTrue="1">
      <formula>IF(A40&gt;=1.81,IF(A40&lt;3,TRUE,FALSE),FALSE)</formula>
    </cfRule>
  </conditionalFormatting>
  <conditionalFormatting sqref="A44">
    <cfRule type="expression" dxfId="0" priority="1" stopIfTrue="1">
      <formula>A$40&gt;=3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BG</vt:lpstr>
      <vt:lpstr>ER</vt:lpstr>
      <vt:lpstr>FF</vt:lpstr>
      <vt:lpstr>razones NIF</vt:lpstr>
      <vt:lpstr>DUPONT</vt:lpstr>
      <vt:lpstr>ALTMAN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FA</cp:lastModifiedBy>
  <cp:lastPrinted>2009-02-18T23:49:15Z</cp:lastPrinted>
  <dcterms:created xsi:type="dcterms:W3CDTF">2008-11-24T04:12:05Z</dcterms:created>
  <dcterms:modified xsi:type="dcterms:W3CDTF">2018-06-08T20:54:31Z</dcterms:modified>
</cp:coreProperties>
</file>